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tYIESjsxV8nLl0xrlMgaL3KwrAQfcP37BQRMGRqygLSc0QAVviZx6FTsY7BXIebmSf0C1Ggred8vA5nKJyXSkA==" workbookSaltValue="568MemJ3m8z4go8WncidX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AH13" i="16"/>
  <c r="AC20" i="20"/>
  <c r="AL20" i="20"/>
  <c r="E20" i="20"/>
  <c r="C10" i="14" l="1"/>
  <c r="K10" i="14" s="1"/>
  <c r="H17" i="2"/>
  <c r="X12" i="21"/>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BF16" i="13"/>
  <c r="BG15" i="8"/>
  <c r="B12" i="6"/>
  <c r="BL16" i="11"/>
  <c r="BJ16"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BK13" i="11" s="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R19" i="21" l="1"/>
  <c r="K15"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<sst xmlns="http://schemas.openxmlformats.org/spreadsheetml/2006/main" count="2094" uniqueCount="913">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</sst>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f0mtk4wz32uiF3fjhc/1hU7vBM/6iKqmyn1d1LI3/26Cd3Ivnu1v1Hs07DZZpHa1+F61JhX1oig/I+GUKQndw==" saltValue="S4M6ZcEvAAik0mVPpifS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34.9367816091954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141</v>
      </c>
      <c r="D10" s="229">
        <f>IF(ISNUMBER(Datos!I10),Datos!I10," - ")</f>
        <v>141</v>
      </c>
      <c r="E10" s="230">
        <f>IF(ISNUMBER(Datos!J10),Datos!J10," - ")</f>
        <v>30</v>
      </c>
      <c r="F10" s="230">
        <f>IF(ISNUMBER(Datos!K10),Datos!K10," - ")</f>
        <v>47</v>
      </c>
      <c r="G10" s="1189" t="str">
        <f>IF(Datos!E10&lt;&gt;"",Datos!E10,Datos!D10)</f>
        <v>37</v>
      </c>
      <c r="H10" s="231">
        <f>IF(ISNUMBER(Datos!L10),Datos!L10," - ")</f>
        <v>124</v>
      </c>
      <c r="I10" s="1199" t="str">
        <f>IF(ISNUMBER(Datos!AS10/Datos!BM10),Datos!AS10/Datos!BM10," - ")</f>
        <v xml:space="preserve"> - </v>
      </c>
      <c r="J10" s="1200">
        <f>IF(ISNUMBER(Datos!BY10/Datos!CN10),Datos!BY10/Datos!CN10," - ")</f>
        <v>0</v>
      </c>
      <c r="K10" s="234">
        <f t="shared" ref="K10:K12" si="1">IF(ISNUMBER((E10-F10)/C10),(E10-F10)/C10," - ")</f>
        <v>-0.12056737588652482</v>
      </c>
      <c r="L10" s="1201">
        <f>IF(ISNUMBER(NºAsuntos!I10/NºAsuntos!G10),(NºAsuntos!I10/NºAsuntos!G10)*11," - ")</f>
        <v>29.021276595744681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141</v>
      </c>
      <c r="D13" s="1206">
        <f>SUBTOTAL(9,D9:D12)</f>
        <v>141</v>
      </c>
      <c r="E13" s="1207">
        <f>SUBTOTAL(9,E9:E12)</f>
        <v>30</v>
      </c>
      <c r="F13" s="1208">
        <f>SUBTOTAL(9,F9:F12)</f>
        <v>47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4473</v>
      </c>
      <c r="D15" s="229">
        <f>IF(ISNUMBER(IF(D_I="SI",Datos!I15,Datos!I15+Datos!AC15)),IF(D_I="SI",Datos!I15,Datos!I15+Datos!AC15)," - ")</f>
        <v>4617</v>
      </c>
      <c r="E15" s="230">
        <f>IF(ISNUMBER(IF(D_I="SI",Datos!J15,Datos!J15+Datos!AD15)),IF(D_I="SI",Datos!J15,Datos!J15+Datos!AD15)," - ")</f>
        <v>3274</v>
      </c>
      <c r="F15" s="230">
        <f>IF(ISNUMBER(IF(D_I="SI",Datos!K15,Datos!K15+Datos!AE15)),IF(D_I="SI",Datos!K15,Datos!K15+Datos!AE15)," - ")</f>
        <v>3467</v>
      </c>
      <c r="G15" s="1189" t="str">
        <f>IF(Datos!E15&lt;&gt;"",Datos!E15,Datos!D15)</f>
        <v>03</v>
      </c>
      <c r="H15" s="231">
        <f>IF(ISNUMBER(IF(D_I="SI",Datos!L15,Datos!L15+Datos!AF15)),IF(D_I="SI",Datos!L15,Datos!L15+Datos!AF15)," - ")</f>
        <v>4280</v>
      </c>
      <c r="I15" s="1199" t="str">
        <f>IF(ISNUMBER(Datos!AS15/Datos!BM15),Datos!AS15/Datos!BM15," - ")</f>
        <v xml:space="preserve"> - </v>
      </c>
      <c r="J15" s="1200">
        <f>IF(ISNUMBER(Datos!BY15/Datos!CN15),Datos!BY15/Datos!CN15," - ")</f>
        <v>0</v>
      </c>
      <c r="K15" s="234">
        <f t="shared" ref="K15:K17" si="3">IF(ISNUMBER((E15-F15)/C15),(E15-F15)/C15," - ")</f>
        <v>-4.3147775542141741E-2</v>
      </c>
      <c r="L15" s="1201">
        <f>IF(ISNUMBER(NºAsuntos!I15/NºAsuntos!G15),(NºAsuntos!I15/NºAsuntos!G15)*11," - ")</f>
        <v>13.579463513123738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284</v>
      </c>
      <c r="D17" s="229">
        <f>IF(ISNUMBER(IF(D_I="SI",Datos!I17,Datos!I17+Datos!AC17)),IF(D_I="SI",Datos!I17,Datos!I17+Datos!AC17)," - ")</f>
        <v>284</v>
      </c>
      <c r="E17" s="230">
        <f>IF(ISNUMBER(IF(D_I="SI",Datos!J17,Datos!J17+Datos!AD17)),IF(D_I="SI",Datos!J17,Datos!J17+Datos!AD17)," - ")</f>
        <v>367</v>
      </c>
      <c r="F17" s="230">
        <f>IF(ISNUMBER(IF(D_I="SI",Datos!K17,Datos!K17+Datos!AE17)),IF(D_I="SI",Datos!K17,Datos!K17+Datos!AE17)," - ")</f>
        <v>402</v>
      </c>
      <c r="G17" s="1189" t="str">
        <f>IF(Datos!E17&lt;&gt;"",Datos!E17,Datos!D17)</f>
        <v>37</v>
      </c>
      <c r="H17" s="231">
        <f>IF(ISNUMBER(IF(D_I="SI",Datos!L17,Datos!L17+Datos!AF17)),IF(D_I="SI",Datos!L17,Datos!L17+Datos!AF17)," - ")</f>
        <v>249</v>
      </c>
      <c r="I17" s="1199" t="str">
        <f>IF(ISNUMBER(Datos!AS17/Datos!BM17),Datos!AS17/Datos!BM17," - ")</f>
        <v xml:space="preserve"> - </v>
      </c>
      <c r="J17" s="1200" t="str">
        <f>IF(ISNUMBER((Datos!BY17+Datos!BZ17)/Datos!CN17),(Datos!BY17+Datos!BZ17)/Datos!CN17," - ")</f>
        <v xml:space="preserve"> - </v>
      </c>
      <c r="K17" s="234">
        <f t="shared" si="3"/>
        <v>-0.12323943661971831</v>
      </c>
      <c r="L17" s="1201">
        <f>IF(ISNUMBER(NºAsuntos!I17/NºAsuntos!G17),(NºAsuntos!I17/NºAsuntos!G17)*11," - ")</f>
        <v>6.8134328358208958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4757</v>
      </c>
      <c r="D18" s="1206">
        <f>SUBTOTAL(9,D15:D17)</f>
        <v>4901</v>
      </c>
      <c r="E18" s="1207">
        <f>SUBTOTAL(9,E15:E17)</f>
        <v>3641</v>
      </c>
      <c r="F18" s="1207">
        <f>SUBTOTAL(9,F15:F17)</f>
        <v>3869</v>
      </c>
      <c r="G18" s="1209" t="str">
        <f ca="1">INDIRECT(CONCATENATE("G",ROW()-1))</f>
        <v>37</v>
      </c>
      <c r="H18" s="1210">
        <f ca="1">SUMIF(G$14:G17,G18,H$14:H17)</f>
        <v>249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4898</v>
      </c>
      <c r="D19" s="1228">
        <f>SUBTOTAL(9,D9:D18)</f>
        <v>5042</v>
      </c>
      <c r="E19" s="1229">
        <f>SUBTOTAL(9,E9:E18)</f>
        <v>3671</v>
      </c>
      <c r="F19" s="1229">
        <f>SUBTOTAL(9,F9:F18)</f>
        <v>3916</v>
      </c>
      <c r="G19" s="1230"/>
      <c r="H19" s="1231">
        <f ca="1">SUMIF(B9:B18,"TOTAL",H9:H18)</f>
        <v>249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FWAp+r/NOr6w9/+zoKJBRiAK80vBHda0GVdn1wM79jf/BKbVvFUXU6NcUJaYHNDAWUa+MOeI19K6eo7XZRH2w==" saltValue="ZYxqPojYSo4ebO6k89Jz0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UjQcT+17+J8jL2WMtadRectB2pU/5Gs8LWUqeyRpqsSyHMEmSMP7z0mGonXANYFFbTgHvg5qNkC4Qb1GyDZwg==" saltValue="VzAkDOVISxApHS0nmoMG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5519</v>
      </c>
      <c r="J9" s="185">
        <v>2185</v>
      </c>
      <c r="K9" s="185">
        <v>1792</v>
      </c>
      <c r="L9" s="185">
        <v>5916</v>
      </c>
      <c r="M9" s="185">
        <v>638</v>
      </c>
      <c r="N9" s="185">
        <v>697</v>
      </c>
      <c r="O9" s="185">
        <v>695</v>
      </c>
      <c r="P9" s="185">
        <v>455</v>
      </c>
      <c r="Q9" s="185">
        <v>239</v>
      </c>
      <c r="R9" s="185">
        <v>6708</v>
      </c>
      <c r="S9" s="185">
        <v>5244</v>
      </c>
      <c r="T9" s="185">
        <v>1798</v>
      </c>
      <c r="U9" s="185">
        <v>1933</v>
      </c>
      <c r="V9" s="185">
        <v>5109</v>
      </c>
      <c r="W9" s="185">
        <v>498</v>
      </c>
      <c r="X9" s="192">
        <v>633</v>
      </c>
      <c r="Y9" s="195">
        <v>163</v>
      </c>
      <c r="Z9" s="185">
        <v>122</v>
      </c>
      <c r="AA9" s="185">
        <v>122</v>
      </c>
      <c r="AB9" s="185">
        <v>163</v>
      </c>
      <c r="AC9" s="185">
        <v>0</v>
      </c>
      <c r="AD9" s="185">
        <v>0</v>
      </c>
      <c r="AE9" s="185">
        <v>0</v>
      </c>
      <c r="AF9" s="192">
        <v>0</v>
      </c>
      <c r="AG9" s="195">
        <v>190</v>
      </c>
      <c r="AH9" s="185">
        <v>156</v>
      </c>
      <c r="AI9" s="185">
        <v>162</v>
      </c>
      <c r="AJ9" s="196">
        <v>184</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5434</v>
      </c>
      <c r="AZ9" s="124">
        <f>IF(ISNUMBER(IF(J_V="SI",T9,T9+AH9)),IF(J_V="SI",T9,T9+AH9)," - ")</f>
        <v>1954</v>
      </c>
      <c r="BA9" s="125">
        <f>IF(ISNUMBER(IF(J_V="SI",U9,U9+AI9)),IF(J_V="SI",U9,U9+AI9)," - ")</f>
        <v>2095</v>
      </c>
      <c r="BB9" s="125">
        <f>IF(ISNUMBER(IF(J_V="SI",V9,V9+AJ9)),IF(J_V="SI",V9,V9+AJ9)," - ")</f>
        <v>5293</v>
      </c>
      <c r="BC9" s="126">
        <f>IF(ISNUMBER(X9),X9," - ")</f>
        <v>633</v>
      </c>
      <c r="BD9" s="127">
        <f>IF(ISNUMBER(BA9/AZ9),BA9/AZ9," - ")</f>
        <v>1.0721596724667348</v>
      </c>
      <c r="BE9" s="128">
        <f>IF(ISNUMBER(BB9/BA9),BB9/BA9, " - ")</f>
        <v>2.5264916467780432</v>
      </c>
      <c r="BF9" s="128">
        <f>IF(ISNUMBER(BC9/BA9),BC9/BA9, " - ")</f>
        <v>0.30214797136038185</v>
      </c>
      <c r="BG9" s="200">
        <f>IF(ISNUMBER((AY9+AZ9)/BA9),(AY9+AZ9)/BA9," - ")</f>
        <v>3.5264916467780432</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141</v>
      </c>
      <c r="J10" s="185">
        <v>30</v>
      </c>
      <c r="K10" s="185">
        <v>47</v>
      </c>
      <c r="L10" s="185">
        <v>124</v>
      </c>
      <c r="M10" s="185">
        <v>24</v>
      </c>
      <c r="N10" s="185">
        <v>24</v>
      </c>
      <c r="O10" s="185">
        <v>2</v>
      </c>
      <c r="P10" s="185">
        <v>3</v>
      </c>
      <c r="Q10" s="185">
        <v>6</v>
      </c>
      <c r="R10" s="185">
        <v>22</v>
      </c>
      <c r="S10" s="185">
        <v>80</v>
      </c>
      <c r="T10" s="185">
        <v>37</v>
      </c>
      <c r="U10" s="185">
        <v>15</v>
      </c>
      <c r="V10" s="185">
        <v>102</v>
      </c>
      <c r="W10" s="185">
        <v>6</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80</v>
      </c>
      <c r="AZ10" s="130">
        <f t="shared" si="0"/>
        <v>37</v>
      </c>
      <c r="BA10" s="130">
        <f t="shared" si="0"/>
        <v>15</v>
      </c>
      <c r="BB10" s="130">
        <f t="shared" si="0"/>
        <v>102</v>
      </c>
      <c r="BC10" s="126">
        <f t="shared" si="0"/>
        <v>6</v>
      </c>
      <c r="BD10" s="127">
        <f>IF(ISNUMBER(BA10/AZ10),BA10/AZ10," - ")</f>
        <v>0.40540540540540543</v>
      </c>
      <c r="BE10" s="128">
        <f>IF(ISNUMBER(BB10/BA10),BB10/BA10, " - ")</f>
        <v>6.8</v>
      </c>
      <c r="BF10" s="128">
        <f>IF(ISNUMBER(BC10/BA10),BC10/BA10, " - ")</f>
        <v>0.4</v>
      </c>
      <c r="BG10" s="200">
        <f>IF(ISNUMBER((AY10+AZ10)/BA10),(AY10+AZ10)/BA10," - ")</f>
        <v>7.8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5660</v>
      </c>
      <c r="J13" s="188">
        <f t="shared" si="6"/>
        <v>2215</v>
      </c>
      <c r="K13" s="188">
        <f t="shared" si="6"/>
        <v>1839</v>
      </c>
      <c r="L13" s="188">
        <f t="shared" si="6"/>
        <v>6040</v>
      </c>
      <c r="M13" s="188">
        <f t="shared" si="6"/>
        <v>662</v>
      </c>
      <c r="N13" s="188">
        <f t="shared" si="6"/>
        <v>721</v>
      </c>
      <c r="O13" s="188">
        <f t="shared" si="6"/>
        <v>697</v>
      </c>
      <c r="P13" s="188">
        <f t="shared" si="6"/>
        <v>458</v>
      </c>
      <c r="Q13" s="188">
        <f t="shared" si="6"/>
        <v>245</v>
      </c>
      <c r="R13" s="188">
        <f t="shared" si="6"/>
        <v>6730</v>
      </c>
      <c r="S13" s="188">
        <f t="shared" si="6"/>
        <v>5324</v>
      </c>
      <c r="T13" s="188">
        <f t="shared" si="6"/>
        <v>1835</v>
      </c>
      <c r="U13" s="188">
        <f t="shared" si="6"/>
        <v>1948</v>
      </c>
      <c r="V13" s="188">
        <f t="shared" si="6"/>
        <v>5211</v>
      </c>
      <c r="W13" s="188">
        <f t="shared" si="6"/>
        <v>504</v>
      </c>
      <c r="X13" s="188">
        <f t="shared" si="6"/>
        <v>640</v>
      </c>
      <c r="Y13" s="188">
        <f t="shared" si="6"/>
        <v>163</v>
      </c>
      <c r="Z13" s="188">
        <f t="shared" si="6"/>
        <v>122</v>
      </c>
      <c r="AA13" s="188">
        <f t="shared" si="6"/>
        <v>122</v>
      </c>
      <c r="AB13" s="188">
        <f t="shared" si="6"/>
        <v>163</v>
      </c>
      <c r="AC13" s="188">
        <f t="shared" si="6"/>
        <v>0</v>
      </c>
      <c r="AD13" s="188">
        <f t="shared" si="6"/>
        <v>0</v>
      </c>
      <c r="AE13" s="188">
        <f t="shared" si="6"/>
        <v>0</v>
      </c>
      <c r="AF13" s="188">
        <f>SUBTOTAL(9,AF9:AF12)</f>
        <v>0</v>
      </c>
      <c r="AG13" s="188">
        <f t="shared" ref="AG13:AT13" si="7">SUBTOTAL(9,AG8:AG12)</f>
        <v>190</v>
      </c>
      <c r="AH13" s="188">
        <f t="shared" si="7"/>
        <v>156</v>
      </c>
      <c r="AI13" s="188">
        <f t="shared" si="7"/>
        <v>162</v>
      </c>
      <c r="AJ13" s="188">
        <f t="shared" si="7"/>
        <v>184</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5514</v>
      </c>
      <c r="AZ13" s="188">
        <f>SUBTOTAL(9,AZ8:AZ12)</f>
        <v>1991</v>
      </c>
      <c r="BA13" s="188">
        <f>SUBTOTAL(9,BA8:BA12)</f>
        <v>2110</v>
      </c>
      <c r="BB13" s="188">
        <f>SUBTOTAL(9,BB8:BB12)</f>
        <v>5395</v>
      </c>
      <c r="BC13" s="188">
        <f>SUBTOTAL(9,BC8:BC12)</f>
        <v>639</v>
      </c>
      <c r="BD13" s="209">
        <f>IF(ISNUMBER(BA13/AZ13),BA13/AZ13," - ")</f>
        <v>1.0597689603214464</v>
      </c>
      <c r="BE13" s="210">
        <f>IF(ISNUMBER(BB13/BA13),BB13/BA13, " - ")</f>
        <v>2.5568720379146921</v>
      </c>
      <c r="BF13" s="210">
        <f>IF(ISNUMBER(BC13/BA13),BC13/BA13, " - ")</f>
        <v>0.30284360189573462</v>
      </c>
      <c r="BG13" s="211">
        <f>IF(ISNUMBER((AY13+AZ13)/BA13),(AY13+AZ13)/BA13," - ")</f>
        <v>3.5568720379146921</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4617</v>
      </c>
      <c r="J15" s="187">
        <v>3274</v>
      </c>
      <c r="K15" s="187">
        <v>3467</v>
      </c>
      <c r="L15" s="187">
        <v>4280</v>
      </c>
      <c r="M15" s="187">
        <v>435</v>
      </c>
      <c r="N15" s="187">
        <v>2211</v>
      </c>
      <c r="O15" s="185">
        <v>1</v>
      </c>
      <c r="P15" s="187">
        <v>55</v>
      </c>
      <c r="Q15" s="187">
        <v>44</v>
      </c>
      <c r="R15" s="187">
        <v>283</v>
      </c>
      <c r="S15" s="187">
        <v>4321</v>
      </c>
      <c r="T15" s="187">
        <v>2820</v>
      </c>
      <c r="U15" s="187">
        <v>2705</v>
      </c>
      <c r="V15" s="187">
        <v>4465</v>
      </c>
      <c r="W15" s="187">
        <v>433</v>
      </c>
      <c r="X15" s="193">
        <v>1610</v>
      </c>
      <c r="Y15" s="206">
        <v>0</v>
      </c>
      <c r="Z15" s="187">
        <v>0</v>
      </c>
      <c r="AA15" s="187">
        <v>0</v>
      </c>
      <c r="AB15" s="187">
        <v>0</v>
      </c>
      <c r="AC15" s="187">
        <v>0</v>
      </c>
      <c r="AD15" s="187">
        <v>0</v>
      </c>
      <c r="AE15" s="187">
        <v>0</v>
      </c>
      <c r="AF15" s="193">
        <v>0</v>
      </c>
      <c r="AG15" s="206">
        <v>0</v>
      </c>
      <c r="AH15" s="187">
        <v>0</v>
      </c>
      <c r="AI15" s="187">
        <v>0</v>
      </c>
      <c r="AJ15" s="207">
        <v>0</v>
      </c>
      <c r="AK15" s="186">
        <v>0</v>
      </c>
      <c r="AL15" s="187">
        <v>2</v>
      </c>
      <c r="AM15" s="187">
        <v>2</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4321</v>
      </c>
      <c r="AZ15" s="130">
        <f t="shared" si="9"/>
        <v>2820</v>
      </c>
      <c r="BA15" s="130">
        <f t="shared" si="9"/>
        <v>2705</v>
      </c>
      <c r="BB15" s="130">
        <f t="shared" si="9"/>
        <v>4465</v>
      </c>
      <c r="BC15" s="126">
        <f>IF(ISNUMBER(W15),W15," - ")</f>
        <v>433</v>
      </c>
      <c r="BD15" s="127">
        <f>IF(ISNUMBER(BA15/AZ15),BA15/AZ15," - ")</f>
        <v>0.95921985815602839</v>
      </c>
      <c r="BE15" s="128">
        <f>IF(ISNUMBER(BB15/BA15),BB15/BA15, " - ")</f>
        <v>1.6506469500924215</v>
      </c>
      <c r="BF15" s="128">
        <f>IF(ISNUMBER(BC15/BA15),BC15/BA15, " - ")</f>
        <v>0.16007393715341958</v>
      </c>
      <c r="BG15" s="200">
        <f t="shared" ref="BG15:BG16" si="10">IF(ISNUMBER((AY15+AZ15)/BA15),(AY15+AZ15)/BA15," - ")</f>
        <v>2.6399260628465804</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284</v>
      </c>
      <c r="J17" s="187">
        <v>367</v>
      </c>
      <c r="K17" s="187">
        <v>402</v>
      </c>
      <c r="L17" s="187">
        <v>249</v>
      </c>
      <c r="M17" s="187">
        <v>63</v>
      </c>
      <c r="N17" s="187">
        <v>230</v>
      </c>
      <c r="O17" s="187">
        <v>4</v>
      </c>
      <c r="P17" s="187">
        <v>5</v>
      </c>
      <c r="Q17" s="187">
        <v>4</v>
      </c>
      <c r="R17" s="187">
        <v>15</v>
      </c>
      <c r="S17" s="187">
        <v>248</v>
      </c>
      <c r="T17" s="187">
        <v>308</v>
      </c>
      <c r="U17" s="187">
        <v>296</v>
      </c>
      <c r="V17" s="187">
        <v>262</v>
      </c>
      <c r="W17" s="187">
        <v>30</v>
      </c>
      <c r="X17" s="193">
        <v>165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248</v>
      </c>
      <c r="AZ17" s="130">
        <f t="shared" si="14"/>
        <v>308</v>
      </c>
      <c r="BA17" s="130">
        <f t="shared" si="14"/>
        <v>296</v>
      </c>
      <c r="BB17" s="130">
        <f t="shared" si="14"/>
        <v>262</v>
      </c>
      <c r="BC17" s="126">
        <f>IF(ISNUMBER(W17),W17," - ")</f>
        <v>30</v>
      </c>
      <c r="BD17" s="127">
        <f>IF(ISNUMBER(BA17/AZ17),BA17/AZ17," - ")</f>
        <v>0.96103896103896103</v>
      </c>
      <c r="BE17" s="128">
        <f>IF(ISNUMBER(BB17/BA17),BB17/BA17, " - ")</f>
        <v>0.88513513513513509</v>
      </c>
      <c r="BF17" s="128">
        <f>IF(ISNUMBER(BC17/BA17),BC17/BA17, " - ")</f>
        <v>0.10135135135135136</v>
      </c>
      <c r="BG17" s="200">
        <f>IF(ISNUMBER((AY17+AZ17)/BA17),(AY17+AZ17)/BA17," - ")</f>
        <v>1.8783783783783783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4901</v>
      </c>
      <c r="J18" s="188">
        <f t="shared" si="15"/>
        <v>3641</v>
      </c>
      <c r="K18" s="188">
        <f t="shared" si="15"/>
        <v>3869</v>
      </c>
      <c r="L18" s="188">
        <f t="shared" si="15"/>
        <v>4529</v>
      </c>
      <c r="M18" s="188">
        <f t="shared" si="15"/>
        <v>498</v>
      </c>
      <c r="N18" s="188">
        <f t="shared" si="15"/>
        <v>2441</v>
      </c>
      <c r="O18" s="188">
        <f t="shared" si="15"/>
        <v>5</v>
      </c>
      <c r="P18" s="188">
        <f t="shared" si="15"/>
        <v>60</v>
      </c>
      <c r="Q18" s="188">
        <f t="shared" si="15"/>
        <v>48</v>
      </c>
      <c r="R18" s="188">
        <f t="shared" si="15"/>
        <v>298</v>
      </c>
      <c r="S18" s="188">
        <f t="shared" si="15"/>
        <v>4569</v>
      </c>
      <c r="T18" s="188">
        <f t="shared" si="15"/>
        <v>3128</v>
      </c>
      <c r="U18" s="188">
        <f t="shared" si="15"/>
        <v>3001</v>
      </c>
      <c r="V18" s="188">
        <f t="shared" si="15"/>
        <v>4727</v>
      </c>
      <c r="W18" s="188">
        <f t="shared" si="15"/>
        <v>463</v>
      </c>
      <c r="X18" s="188">
        <f t="shared" si="15"/>
        <v>1775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4569</v>
      </c>
      <c r="AZ18" s="188">
        <f>SUBTOTAL(9,AZ14:AZ17)</f>
        <v>3128</v>
      </c>
      <c r="BA18" s="188">
        <f>SUBTOTAL(9,BA14:BA17)</f>
        <v>3001</v>
      </c>
      <c r="BB18" s="188">
        <f>SUBTOTAL(9,BB14:BB17)</f>
        <v>4727</v>
      </c>
      <c r="BC18" s="188">
        <f>SUBTOTAL(9,BC14:BC17)</f>
        <v>463</v>
      </c>
      <c r="BD18" s="209">
        <f>IF(ISNUMBER(BA18/AZ18),BA18/AZ18," - ")</f>
        <v>0.9593989769820972</v>
      </c>
      <c r="BE18" s="210">
        <f>IF(ISNUMBER(BB18/BA18),BB18/BA18, " - ")</f>
        <v>1.5751416194601799</v>
      </c>
      <c r="BF18" s="210">
        <f>IF(ISNUMBER(BC18/BA18),BC18/BA18, " - ")</f>
        <v>0.15428190603132289</v>
      </c>
      <c r="BG18" s="211">
        <f>IF(ISNUMBER((AY18+AZ18)/BA18),(AY18+AZ18)/BA18," - ")</f>
        <v>2.5648117294235253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10561</v>
      </c>
      <c r="J19" s="135">
        <f t="shared" si="18"/>
        <v>5856</v>
      </c>
      <c r="K19" s="135">
        <f t="shared" si="18"/>
        <v>5708</v>
      </c>
      <c r="L19" s="135">
        <f t="shared" si="18"/>
        <v>10569</v>
      </c>
      <c r="M19" s="135">
        <f t="shared" si="18"/>
        <v>1160</v>
      </c>
      <c r="N19" s="135">
        <f t="shared" si="18"/>
        <v>3162</v>
      </c>
      <c r="O19" s="135">
        <f t="shared" si="18"/>
        <v>702</v>
      </c>
      <c r="P19" s="135">
        <f t="shared" si="18"/>
        <v>518</v>
      </c>
      <c r="Q19" s="135">
        <f t="shared" si="18"/>
        <v>293</v>
      </c>
      <c r="R19" s="135">
        <f t="shared" si="18"/>
        <v>7028</v>
      </c>
      <c r="S19" s="135">
        <f t="shared" si="18"/>
        <v>9893</v>
      </c>
      <c r="T19" s="135">
        <f t="shared" si="18"/>
        <v>4963</v>
      </c>
      <c r="U19" s="135">
        <f t="shared" si="18"/>
        <v>4949</v>
      </c>
      <c r="V19" s="135">
        <f t="shared" si="18"/>
        <v>9938</v>
      </c>
      <c r="W19" s="135">
        <f t="shared" si="18"/>
        <v>967</v>
      </c>
      <c r="X19" s="135">
        <f t="shared" si="18"/>
        <v>2415</v>
      </c>
      <c r="Y19" s="135">
        <f t="shared" si="18"/>
        <v>163</v>
      </c>
      <c r="Z19" s="135">
        <f t="shared" si="18"/>
        <v>122</v>
      </c>
      <c r="AA19" s="135">
        <f t="shared" si="18"/>
        <v>122</v>
      </c>
      <c r="AB19" s="135">
        <f t="shared" si="18"/>
        <v>163</v>
      </c>
      <c r="AC19" s="135">
        <f t="shared" si="18"/>
        <v>0</v>
      </c>
      <c r="AD19" s="135">
        <f t="shared" si="18"/>
        <v>0</v>
      </c>
      <c r="AE19" s="135">
        <f t="shared" si="18"/>
        <v>0</v>
      </c>
      <c r="AF19" s="135">
        <f t="shared" si="18"/>
        <v>0</v>
      </c>
      <c r="AG19" s="135">
        <f t="shared" si="18"/>
        <v>190</v>
      </c>
      <c r="AH19" s="135">
        <f t="shared" si="18"/>
        <v>156</v>
      </c>
      <c r="AI19" s="135">
        <f t="shared" si="18"/>
        <v>162</v>
      </c>
      <c r="AJ19" s="135">
        <f t="shared" si="18"/>
        <v>184</v>
      </c>
      <c r="AK19" s="135">
        <f t="shared" si="18"/>
        <v>0</v>
      </c>
      <c r="AL19" s="135">
        <f t="shared" si="18"/>
        <v>2</v>
      </c>
      <c r="AM19" s="135">
        <f t="shared" si="18"/>
        <v>2</v>
      </c>
      <c r="AN19" s="214">
        <f t="shared" si="18"/>
        <v>0</v>
      </c>
      <c r="AO19" s="215">
        <v>10</v>
      </c>
      <c r="AP19" s="215">
        <v>10</v>
      </c>
      <c r="AQ19" s="215">
        <v>10</v>
      </c>
      <c r="AR19" s="215">
        <v>10</v>
      </c>
      <c r="AS19" s="157">
        <f t="shared" si="18"/>
        <v>0</v>
      </c>
      <c r="AT19" s="157">
        <f t="shared" si="18"/>
        <v>0</v>
      </c>
      <c r="AU19" s="215"/>
      <c r="AV19" s="216"/>
      <c r="AW19" s="215"/>
      <c r="AX19" s="216"/>
      <c r="AY19" s="134">
        <f>SUBTOTAL(9,AY9:AY18)</f>
        <v>10083</v>
      </c>
      <c r="AZ19" s="135">
        <f>SUBTOTAL(9,AZ9:AZ18)</f>
        <v>5119</v>
      </c>
      <c r="BA19" s="135">
        <f>SUBTOTAL(9,BA9:BA18)</f>
        <v>5111</v>
      </c>
      <c r="BB19" s="135">
        <f>SUBTOTAL(9,BB9:BB18)</f>
        <v>10122</v>
      </c>
      <c r="BC19" s="136">
        <f>SUBTOTAL(9,BC9:BC18)</f>
        <v>1102</v>
      </c>
      <c r="BD19" s="217">
        <f>IF(ISNUMBER(BA19/AZ19),BA19/AZ19," - ")</f>
        <v>0.99843719476460246</v>
      </c>
      <c r="BE19" s="214">
        <f>IF(ISNUMBER(BB19/BA19),BB19/BA19, " - ")</f>
        <v>1.9804343572686363</v>
      </c>
      <c r="BF19" s="214">
        <f>IF(ISNUMBER(BC19/BA19),BC19/BA19, " - ")</f>
        <v>0.21561338289962825</v>
      </c>
      <c r="BG19" s="136">
        <f>IF(ISNUMBER((AY19+AZ19)/BA19),(AY19+AZ19)/BA19," - ")</f>
        <v>2.9743690080219136</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lwYb13EfG57sdw221m3TFGSKfwElANgZiWBs9pwVwAeOAEOlkpiV9d7aw1T5Z3GQr8tpBeE647POtseCELc0A==" saltValue="vCgAhwNh1KfOdQHShhzx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i4wJjtmthz3y0igvRWhEb1EOkTQ1zIltyGV6/AzWZvivpBMRvvTXP95QOFo471OeHjaxHfgqiEYbLORBRsP8w==" saltValue="uymQML4GsQmkR5NOOXaV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EIVISSA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122</v>
      </c>
      <c r="O9" s="503"/>
      <c r="P9" s="503"/>
      <c r="Q9" s="501">
        <f>IF(ISNUMBER(Datos!P9),Datos!P9,0)</f>
        <v>455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239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163</v>
      </c>
      <c r="AI9" s="503" t="str">
        <f>IF(ISNUMBER(Datos!CD9),Datos!CD9,"-")</f>
        <v>-</v>
      </c>
      <c r="AJ9" s="503" t="str">
        <f>IF(ISNUMBER(Datos!EN9),Datos!EN9," - ")</f>
        <v xml:space="preserve"> - </v>
      </c>
      <c r="AK9" s="503"/>
      <c r="AL9" s="504"/>
      <c r="AM9" s="671">
        <f>IF(ISNUMBER(Datos!R9),Datos!R9," - ")</f>
        <v>6708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638</v>
      </c>
      <c r="BD9" s="619">
        <f>IF(ISNUMBER(Datos!N9),Datos!N9," - ")</f>
        <v>697</v>
      </c>
      <c r="BE9" s="619" t="str">
        <f>IF(ISNUMBER(Datos!BW9),Datos!BW9," - ")</f>
        <v xml:space="preserve"> - </v>
      </c>
      <c r="BF9" s="667" t="str">
        <f>IF(ISNUMBER(Datos!BX9),Datos!BX9," - ")</f>
        <v xml:space="preserve"> - </v>
      </c>
      <c r="BG9" s="668">
        <f>IF(ISNUMBER(IF(J_V="SI",Datos!K9/Datos!J9,(Datos!K9+Datos!AA9)/(Datos!J9+Datos!Z9))),IF(J_V="SI",Datos!K9/Datos!J9,(Datos!K9+Datos!AA9)/(Datos!J9+Datos!Z9))," - ")</f>
        <v>0.82964889466840053</v>
      </c>
      <c r="BH9" s="669">
        <f>IF(ISNUMBER(((IF(J_V="SI",Datos!L9/Datos!K9,(Datos!L9+Datos!AB9)/(Datos!K9+Datos!AA9)))*11)/factor_trimestre),((IF(J_V="SI",Datos!L9/Datos!K9,(Datos!L9+Datos!AB9)/(Datos!K9+Datos!AA9)))*11)/factor_trimestre," - ")</f>
        <v>9.5282131661441998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3.3271719038817003E-2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141</v>
      </c>
      <c r="G10" s="497">
        <f>IF(ISNUMBER(Datos!I10),Datos!I10," - ")</f>
        <v>141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47</v>
      </c>
      <c r="AC10" s="501">
        <f>IF(ISNUMBER(Datos!Q10),Datos!Q10," - ")</f>
        <v>6</v>
      </c>
      <c r="AD10" s="503"/>
      <c r="AE10" s="516"/>
      <c r="AF10" s="505">
        <f>IF(ISNUMBER(Datos!L10),Datos!L10,"-")</f>
        <v>124</v>
      </c>
      <c r="AG10" s="503"/>
      <c r="AH10" s="503"/>
      <c r="AI10" s="503"/>
      <c r="AJ10" s="503"/>
      <c r="AK10" s="503"/>
      <c r="AL10" s="504"/>
      <c r="AM10" s="671">
        <f>IF(ISNUMBER(Datos!R10),Datos!R10," - ")</f>
        <v>22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24</v>
      </c>
      <c r="BD10" s="619">
        <f>IF(ISNUMBER(Datos!N10),Datos!N10," - ")</f>
        <v>24</v>
      </c>
      <c r="BE10" s="619" t="str">
        <f>IF(ISNUMBER(Datos!BW10),Datos!BW10," - ")</f>
        <v xml:space="preserve"> - </v>
      </c>
      <c r="BF10" s="667" t="str">
        <f>IF(ISNUMBER(Datos!BX10),Datos!BX10," - ")</f>
        <v xml:space="preserve"> - </v>
      </c>
      <c r="BG10" s="668">
        <f>IF(ISNUMBER(Datos!K10/Datos!J10),Datos!K10/Datos!J10," - ")</f>
        <v>1.5666666666666667</v>
      </c>
      <c r="BH10" s="669">
        <f>IF(ISNUMBER(((Datos!L10/Datos!K10)*11)/factor_trimestre),((Datos!L10/Datos!K10)*11)/factor_trimestre," - ")</f>
        <v>7.9148936170212769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141</v>
      </c>
      <c r="G13" s="1044">
        <f t="shared" si="0"/>
        <v>141</v>
      </c>
      <c r="H13" s="1045">
        <f t="shared" si="0"/>
        <v>0</v>
      </c>
      <c r="I13" s="1044">
        <f t="shared" si="0"/>
        <v>0</v>
      </c>
      <c r="J13" s="1013">
        <f t="shared" si="0"/>
        <v>0</v>
      </c>
      <c r="K13" s="1013">
        <f t="shared" si="0"/>
        <v>0</v>
      </c>
      <c r="L13" s="1045">
        <f t="shared" si="0"/>
        <v>0</v>
      </c>
      <c r="M13" s="1045">
        <f t="shared" si="0"/>
        <v>0</v>
      </c>
      <c r="N13" s="1045">
        <f t="shared" si="0"/>
        <v>122</v>
      </c>
      <c r="O13" s="1046">
        <f t="shared" si="0"/>
        <v>0</v>
      </c>
      <c r="P13" s="1046">
        <f t="shared" si="0"/>
        <v>0</v>
      </c>
      <c r="Q13" s="1045">
        <f t="shared" si="0"/>
        <v>458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47</v>
      </c>
      <c r="AC13" s="1045">
        <f t="shared" si="1"/>
        <v>245</v>
      </c>
      <c r="AD13" s="1045">
        <f t="shared" si="1"/>
        <v>0</v>
      </c>
      <c r="AE13" s="1045">
        <f t="shared" si="1"/>
        <v>0</v>
      </c>
      <c r="AF13" s="1045">
        <f t="shared" si="1"/>
        <v>124</v>
      </c>
      <c r="AG13" s="1045">
        <f t="shared" si="1"/>
        <v>0</v>
      </c>
      <c r="AH13" s="1045">
        <f t="shared" si="1"/>
        <v>163</v>
      </c>
      <c r="AI13" s="1045">
        <f t="shared" si="1"/>
        <v>0</v>
      </c>
      <c r="AJ13" s="1045">
        <f t="shared" si="1"/>
        <v>0</v>
      </c>
      <c r="AK13" s="1045">
        <f t="shared" si="1"/>
        <v>0</v>
      </c>
      <c r="AL13" s="1045">
        <f t="shared" si="1"/>
        <v>0</v>
      </c>
      <c r="AM13" s="1045">
        <f t="shared" si="1"/>
        <v>6730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662</v>
      </c>
      <c r="BD13" s="1045">
        <f t="shared" si="1"/>
        <v>721</v>
      </c>
      <c r="BE13" s="1045">
        <f t="shared" si="1"/>
        <v>0</v>
      </c>
      <c r="BF13" s="1045">
        <f t="shared" si="1"/>
        <v>0</v>
      </c>
      <c r="BG13" s="1045">
        <f>IF(ISNUMBER(Datos!K13/Datos!J13),Datos!K13/Datos!J13," - ")</f>
        <v>0.83024830699774266</v>
      </c>
      <c r="BH13" s="1049">
        <f>IF(ISNUMBER(((Datos!L13/Datos!K13)*11)/factor_trimestre),((Datos!L13/Datos!K13)*11)/factor_trimestre," - ")</f>
        <v>9.8531810766721044</v>
      </c>
      <c r="BI13" s="1045">
        <f>IF(ISNUMBER('Resol  Asuntos'!D13/NºAsuntos!G13),'Resol  Asuntos'!D13/NºAsuntos!G13," - ")</f>
        <v>0.33758286588475267</v>
      </c>
      <c r="BJ13" s="1045" t="str">
        <f>IF(ISNUMBER(Datos!CI13/Datos!CJ13),Datos!CI13/Datos!CJ13," - ")</f>
        <v xml:space="preserve"> - </v>
      </c>
      <c r="BK13" s="1045">
        <f>SUBTOTAL(9,BK8:BK12)</f>
        <v>0</v>
      </c>
      <c r="BL13" s="1045">
        <f>IF(ISNUMBER((I13-AB13+L13)/(F13)),(I13-AB13+L13)/(F13)," - ")</f>
        <v>-0.33333333333333331</v>
      </c>
      <c r="BM13" s="1050">
        <f>SUBTOTAL(9,BM9:BM12)</f>
        <v>-8.6728280961182985E-2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4473</v>
      </c>
      <c r="G15" s="650">
        <f>IF(ISNUMBER(IF(D_I="SI",Datos!I15,Datos!I15+Datos!AC15)),IF(D_I="SI",Datos!I15,Datos!I15+Datos!AC15)," - ")</f>
        <v>4617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3467</v>
      </c>
      <c r="AC15" s="230">
        <f>IF(ISNUMBER(Datos!Q15),Datos!Q15," - ")</f>
        <v>44</v>
      </c>
      <c r="AD15" s="343"/>
      <c r="AE15" s="515"/>
      <c r="AF15" s="648">
        <f>IF(ISNUMBER(IF(D_I="SI",Datos!L15,Datos!L15+Datos!AF15)),IF(D_I="SI",Datos!L15,Datos!L15+Datos!AF15)," - ")</f>
        <v>4280</v>
      </c>
      <c r="AG15" s="343"/>
      <c r="AH15" s="343"/>
      <c r="AI15" s="343"/>
      <c r="AJ15" s="503"/>
      <c r="AK15" s="343"/>
      <c r="AL15" s="499"/>
      <c r="AM15" s="344">
        <f>IF(ISNUMBER(Datos!R15),Datos!R15," - ")</f>
        <v>283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435</v>
      </c>
      <c r="BD15" s="233">
        <f>IF(ISNUMBER(Datos!N15),Datos!N15," - ")</f>
        <v>2211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1.0589492974954184</v>
      </c>
      <c r="BH15" s="669">
        <f>IF(ISNUMBER(((IF(D_I="SI",Datos!L15/Datos!K15,(Datos!L15+Datos!AF15)/(Datos!K15+Datos!AE15)))*11)/factor_trimestre),((IF(D_I="SI",Datos!L15/Datos!K15,(Datos!L15+Datos!AF15)/(Datos!K15+Datos!AE15)))*11)/factor_trimestre," - ")</f>
        <v>3.7034900490337468</v>
      </c>
      <c r="BI15" s="247">
        <f>IF(ISNUMBER('Resol  Asuntos'!D15/NºAsuntos!G15),'Resol  Asuntos'!D15/NºAsuntos!G15," - ")</f>
        <v>0.12546870493221807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284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402</v>
      </c>
      <c r="AC17" s="501">
        <f>IF(ISNUMBER(Datos!Q17),Datos!Q17," - ")</f>
        <v>4</v>
      </c>
      <c r="AD17" s="503"/>
      <c r="AE17" s="515"/>
      <c r="AF17" s="505">
        <f>IF(ISNUMBER(Datos!L17),Datos!L17,"-")</f>
        <v>249</v>
      </c>
      <c r="AG17" s="503"/>
      <c r="AH17" s="503"/>
      <c r="AI17" s="503"/>
      <c r="AJ17" s="503"/>
      <c r="AK17" s="503"/>
      <c r="AL17" s="504"/>
      <c r="AM17" s="671">
        <f>IF(ISNUMBER(Datos!R17),Datos!R17," - ")</f>
        <v>15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63</v>
      </c>
      <c r="BD17" s="619">
        <f>IF(ISNUMBER(Datos!N17),Datos!N17," - ")</f>
        <v>230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1.0953678474114441</v>
      </c>
      <c r="BH17" s="669">
        <f>IF(ISNUMBER(((IF(D_I="SI",Datos!L17/Datos!K17,(Datos!L17+Datos!AF17)/(Datos!K17+Datos!AE17)))*11)/factor_trimestre),((IF(D_I="SI",Datos!L17/Datos!K17,(Datos!L17+Datos!AF17)/(Datos!K17+Datos!AE17)))*11)/factor_trimestre," - ")</f>
        <v>1.8582089552238807</v>
      </c>
      <c r="BI17" s="668">
        <f>IF(ISNUMBER('Resol  Asuntos'!D17/NºAsuntos!G17),'Resol  Asuntos'!D17/NºAsuntos!G17," - ")</f>
        <v>0.15671641791044777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4473</v>
      </c>
      <c r="G18" s="1044">
        <f>SUBTOTAL(9,G15:G17)</f>
        <v>4901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3869</v>
      </c>
      <c r="AC18" s="1045">
        <f t="shared" si="4"/>
        <v>48</v>
      </c>
      <c r="AD18" s="1045">
        <f t="shared" si="4"/>
        <v>0</v>
      </c>
      <c r="AE18" s="1045">
        <f t="shared" si="4"/>
        <v>0</v>
      </c>
      <c r="AF18" s="1045">
        <f t="shared" si="4"/>
        <v>4529</v>
      </c>
      <c r="AG18" s="1045">
        <f t="shared" si="4"/>
        <v>0</v>
      </c>
      <c r="AH18" s="1045">
        <f t="shared" si="4"/>
        <v>0</v>
      </c>
      <c r="AI18" s="1045">
        <f t="shared" si="4"/>
        <v>0</v>
      </c>
      <c r="AJ18" s="1045">
        <f t="shared" si="4"/>
        <v>0</v>
      </c>
      <c r="AK18" s="1045">
        <f t="shared" si="4"/>
        <v>0</v>
      </c>
      <c r="AL18" s="1045">
        <f t="shared" si="4"/>
        <v>0</v>
      </c>
      <c r="AM18" s="1045">
        <f t="shared" si="4"/>
        <v>298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498</v>
      </c>
      <c r="BD18" s="1045">
        <f t="shared" si="4"/>
        <v>2441</v>
      </c>
      <c r="BE18" s="1045">
        <f t="shared" si="4"/>
        <v>0</v>
      </c>
      <c r="BF18" s="1045">
        <f t="shared" si="4"/>
        <v>0</v>
      </c>
      <c r="BG18" s="1045">
        <f>IF(ISNUMBER(Datos!K18/Datos!J18),Datos!K18/Datos!J18," - ")</f>
        <v>1.0626201592968965</v>
      </c>
      <c r="BH18" s="1049">
        <f>IF(ISNUMBER(((Datos!L18/Datos!K18)*11)/factor_trimestre),((Datos!L18/Datos!K18)*11)/factor_trimestre," - ")</f>
        <v>3.5117601447402436</v>
      </c>
      <c r="BI18" s="1045">
        <f>SUBTOTAL(9,BI15:BI17)</f>
        <v>0.28218512284266584</v>
      </c>
      <c r="BJ18" s="1045">
        <f>SUBTOTAL(9,BJ15:BJ17)</f>
        <v>0</v>
      </c>
      <c r="BK18" s="1045">
        <f>SUBTOTAL(9,BK15:BK17)</f>
        <v>0</v>
      </c>
      <c r="BL18" s="1045">
        <f>IF(ISNUMBER((I18-AB18+L18)/(F18)),(I18-AB18+L18)/(F18)," - ")</f>
        <v>-0.86496758327744239</v>
      </c>
      <c r="BM18" s="1051">
        <f>IF(ISNUMBER((Datos!P18-Datos!Q18)/(Datos!R18-Datos!P18+Datos!Q18)),(Datos!P18-Datos!Q18)/(Datos!R18-Datos!P18+Datos!Q18)," - ")</f>
        <v>4.195804195804196E-2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11</v>
      </c>
      <c r="F19" s="966">
        <f t="shared" si="6"/>
        <v>4614</v>
      </c>
      <c r="G19" s="966">
        <f t="shared" si="6"/>
        <v>5042</v>
      </c>
      <c r="H19" s="968">
        <f t="shared" si="6"/>
        <v>0</v>
      </c>
      <c r="I19" s="966">
        <f t="shared" si="6"/>
        <v>0</v>
      </c>
      <c r="J19" s="968">
        <f t="shared" si="6"/>
        <v>0</v>
      </c>
      <c r="K19" s="968">
        <f t="shared" si="6"/>
        <v>0</v>
      </c>
      <c r="L19" s="1027">
        <f t="shared" si="6"/>
        <v>0</v>
      </c>
      <c r="M19" s="1027">
        <f t="shared" si="6"/>
        <v>0</v>
      </c>
      <c r="N19" s="1027">
        <f t="shared" si="6"/>
        <v>122</v>
      </c>
      <c r="O19" s="1027">
        <f t="shared" si="6"/>
        <v>0</v>
      </c>
      <c r="P19" s="1027">
        <f t="shared" si="6"/>
        <v>0</v>
      </c>
      <c r="Q19" s="968">
        <f t="shared" si="6"/>
        <v>518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3916</v>
      </c>
      <c r="AC19" s="967">
        <f t="shared" si="7"/>
        <v>293</v>
      </c>
      <c r="AD19" s="967">
        <f t="shared" si="7"/>
        <v>0</v>
      </c>
      <c r="AE19" s="967">
        <f t="shared" si="7"/>
        <v>0</v>
      </c>
      <c r="AF19" s="974">
        <f t="shared" si="7"/>
        <v>4653</v>
      </c>
      <c r="AG19" s="974">
        <f t="shared" si="7"/>
        <v>0</v>
      </c>
      <c r="AH19" s="974">
        <f t="shared" si="7"/>
        <v>163</v>
      </c>
      <c r="AI19" s="974">
        <f t="shared" si="7"/>
        <v>0</v>
      </c>
      <c r="AJ19" s="967">
        <f t="shared" si="7"/>
        <v>0</v>
      </c>
      <c r="AK19" s="974">
        <f t="shared" si="7"/>
        <v>0</v>
      </c>
      <c r="AL19" s="974">
        <f t="shared" si="7"/>
        <v>0</v>
      </c>
      <c r="AM19" s="974">
        <f t="shared" si="7"/>
        <v>7028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1160</v>
      </c>
      <c r="BD19" s="966">
        <f t="shared" si="7"/>
        <v>3162</v>
      </c>
      <c r="BE19" s="966">
        <f t="shared" si="7"/>
        <v>0</v>
      </c>
      <c r="BF19" s="976">
        <f t="shared" si="7"/>
        <v>0</v>
      </c>
      <c r="BG19" s="1061">
        <f>IF(ISNUMBER(Datos!K19/Datos!J19),Datos!K19/Datos!J19," - ")</f>
        <v>0.97472677595628421</v>
      </c>
      <c r="BH19" s="1061">
        <f>IF(ISNUMBER(((Datos!L19/Datos!K19)*11)/factor_trimestre),((Datos!L19/Datos!K19)*11)/factor_trimestre," - ")</f>
        <v>5.5548353188507358</v>
      </c>
      <c r="BI19" s="959">
        <f>IF(ISNUMBER(Datos!J19/Datos!I19),Datos!J19/Datos!I19," - ")</f>
        <v>0.55449294574377428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-0.84872128305158212</v>
      </c>
      <c r="BM19" s="1035">
        <f>IF(ISNUMBER((Datos!P19-Datos!Q19+R19)/(Datos!R19-Datos!P19+Datos!Q19-R19)),(Datos!P19-Datos!Q19+R19)/(Datos!R19-Datos!P19+Datos!Q19-R19)," - ")</f>
        <v>3.3073643980596798E-2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2016.8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2.5055493963954847</v>
      </c>
      <c r="F21" s="599">
        <f>IF(ISNUMBER(STDEV(F8:F18)),STDEV(F8:F18),"-")</f>
        <v>2501.0813661294587</v>
      </c>
      <c r="G21" s="600">
        <f>IF(ISNUMBER(STDEV(G8:G18)),STDEV(G8:G18),"-")</f>
        <v>2505.9677172701167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1929.1984864186472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279.2831299356742</v>
      </c>
      <c r="BD21" s="599"/>
      <c r="BE21" s="599">
        <f>IF(ISNUMBER(STDEV(BE8:BE18)),STDEV(BE8:BE18),"-")</f>
        <v>0</v>
      </c>
      <c r="BF21" s="604">
        <f>IF(ISNUMBER(STDEV(BF8:BF18)),STDEV(BF8:BF18),"-")</f>
        <v>0</v>
      </c>
      <c r="BG21" s="914">
        <f>IF(ISNUMBER(STDEV(BG8:BG18)),STDEV(BG8:BG18),"-")</f>
        <v>0.26931593447641344</v>
      </c>
      <c r="BH21" s="918">
        <f>IF(ISNUMBER(STDEV(BH8:BH18)),STDEV(BH8:BH18),"-")</f>
        <v>3.4513491053665772</v>
      </c>
      <c r="BI21" s="253">
        <f>IF(ISNUMBER(STDEV(BI8:BI18)),STDEV(BI8:BI18),"-")</f>
        <v>0.10085172711296547</v>
      </c>
      <c r="BJ21" s="234" t="str">
        <f>IF(ISNUMBER(BL21/BM21),BL21/BM21," - ")</f>
        <v xml:space="preserve"> - </v>
      </c>
      <c r="BK21" s="626"/>
      <c r="BL21" s="607">
        <f>IF(ISNUMBER(STDEV(BL8:BL18)),STDEV(BL8:BL18),"-")</f>
        <v>0.37592218324650362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3C07i38VgZXqJidH8Yk0MbAfOGAJ7gRRLRKxghNifwgbmG6clwu9BgykCcfkme21p1b7ONGY1eOkEraZadDOA==" saltValue="a+Fd0inFjwI7HeghmFIx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EIVISSA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455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239</v>
      </c>
      <c r="AA9" s="505" t="str">
        <f>IF(ISNUMBER(IF(J_V="SI",Datos!L9,Datos!L9+Datos!AB9)-IF(Monitorios="SI",Datos!CD9,0)),
                          IF(J_V="SI",Datos!L9,Datos!L9+Datos!AB9)-IF(Monitorios="SI",Datos!CD9,0),
                          " - ")</f>
        <v xml:space="preserve"> - </v>
      </c>
      <c r="AB9" s="503"/>
      <c r="AC9" s="503"/>
      <c r="AD9" s="516"/>
      <c r="AE9" s="516">
        <f>IF(ISNUMBER(Datos!R9),Datos!R9," - ")</f>
        <v>6708</v>
      </c>
      <c r="AF9" s="619" t="str">
        <f>IF(ISNUMBER(Datos!BV9),Datos!BV9," - ")</f>
        <v xml:space="preserve"> - </v>
      </c>
      <c r="AG9" s="506" t="str">
        <f>IF(ISNUMBER(Datos!DV9),Datos!DV9," - ")</f>
        <v xml:space="preserve"> - </v>
      </c>
      <c r="AH9" s="507"/>
      <c r="AI9" s="508"/>
      <c r="AJ9" s="506">
        <f>IF(ISNUMBER(Datos!M9),Datos!M9," - ")</f>
        <v>638</v>
      </c>
      <c r="AK9" s="619">
        <f>IF(ISNUMBER(Datos!N9),Datos!N9," - ")</f>
        <v>697</v>
      </c>
      <c r="AL9" s="619" t="str">
        <f>IF(ISNUMBER(Datos!BW9),Datos!BW9," - ")</f>
        <v xml:space="preserve"> - </v>
      </c>
      <c r="AM9" s="667" t="str">
        <f>IF(ISNUMBER(Datos!BX9),Datos!BX9," - ")</f>
        <v xml:space="preserve"> - </v>
      </c>
      <c r="AN9" s="668"/>
      <c r="AO9" s="669">
        <f>IF(ISNUMBER(((NºAsuntos!I9/NºAsuntos!G9)*11)/factor_trimestre),((NºAsuntos!I9/NºAsuntos!G9)*11)/factor_trimestre," - ")</f>
        <v>9.5282131661441998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3.3271719038817003E-2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141</v>
      </c>
      <c r="G10" s="506">
        <f>IF(ISNUMBER(Datos!I10),Datos!I10," - ")</f>
        <v>141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47</v>
      </c>
      <c r="Z10" s="703">
        <f>IF(ISNUMBER(Datos!Q10),Datos!Q10," - ")</f>
        <v>6</v>
      </c>
      <c r="AA10" s="505">
        <f>IF(ISNUMBER(Datos!L10),Datos!L10,"-")</f>
        <v>124</v>
      </c>
      <c r="AB10" s="503"/>
      <c r="AC10" s="503"/>
      <c r="AD10" s="516"/>
      <c r="AE10" s="516">
        <f>IF(ISNUMBER(Datos!R10),Datos!R10," - ")</f>
        <v>22</v>
      </c>
      <c r="AF10" s="619" t="str">
        <f>IF(ISNUMBER(Datos!BV10),Datos!BV10," - ")</f>
        <v xml:space="preserve"> - </v>
      </c>
      <c r="AG10" s="506" t="str">
        <f>IF(ISNUMBER(Datos!DV10),Datos!DV10," - ")</f>
        <v xml:space="preserve"> - </v>
      </c>
      <c r="AH10" s="507"/>
      <c r="AI10" s="508"/>
      <c r="AJ10" s="506">
        <f>IF(ISNUMBER(Datos!M10),Datos!M10," - ")</f>
        <v>24</v>
      </c>
      <c r="AK10" s="619">
        <f>IF(ISNUMBER(Datos!N10),Datos!N10," - ")</f>
        <v>24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7.9148936170212769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141</v>
      </c>
      <c r="G13" s="1044">
        <f>SUBTOTAL(9,G8:G12)</f>
        <v>141</v>
      </c>
      <c r="H13" s="1054"/>
      <c r="I13" s="1044">
        <f t="shared" ref="I13:N13" si="0">SUBTOTAL(9,I8:I12)</f>
        <v>0</v>
      </c>
      <c r="J13" s="1013">
        <f t="shared" si="0"/>
        <v>0</v>
      </c>
      <c r="K13" s="1054">
        <f t="shared" si="0"/>
        <v>0</v>
      </c>
      <c r="L13" s="1054">
        <f t="shared" si="0"/>
        <v>0</v>
      </c>
      <c r="M13" s="1054">
        <f t="shared" si="0"/>
        <v>0</v>
      </c>
      <c r="N13" s="1054">
        <f t="shared" si="0"/>
        <v>458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47</v>
      </c>
      <c r="Z13" s="1053">
        <f t="shared" si="2"/>
        <v>245</v>
      </c>
      <c r="AA13" s="1046">
        <f t="shared" si="2"/>
        <v>124</v>
      </c>
      <c r="AB13" s="1046">
        <f t="shared" si="2"/>
        <v>0</v>
      </c>
      <c r="AC13" s="1046">
        <f t="shared" si="2"/>
        <v>0</v>
      </c>
      <c r="AD13" s="1046">
        <f t="shared" si="2"/>
        <v>0</v>
      </c>
      <c r="AE13" s="1046">
        <f t="shared" si="2"/>
        <v>6730</v>
      </c>
      <c r="AF13" s="1054">
        <f t="shared" si="2"/>
        <v>0</v>
      </c>
      <c r="AG13" s="1054">
        <f t="shared" si="2"/>
        <v>0</v>
      </c>
      <c r="AH13" s="1054">
        <f t="shared" si="2"/>
        <v>0</v>
      </c>
      <c r="AI13" s="1054">
        <f t="shared" si="2"/>
        <v>0</v>
      </c>
      <c r="AJ13" s="1054">
        <f t="shared" si="2"/>
        <v>662</v>
      </c>
      <c r="AK13" s="1054">
        <f t="shared" si="2"/>
        <v>721</v>
      </c>
      <c r="AL13" s="1054">
        <f t="shared" si="2"/>
        <v>0</v>
      </c>
      <c r="AM13" s="1054">
        <f t="shared" si="2"/>
        <v>0</v>
      </c>
      <c r="AN13" s="1054">
        <f t="shared" si="2"/>
        <v>0</v>
      </c>
      <c r="AO13" s="1050">
        <f>IF(ISNUMBER(((NºAsuntos!I13/NºAsuntos!G13)*11)/factor_trimestre),((NºAsuntos!I13/NºAsuntos!G13)*11)/factor_trimestre," - ")</f>
        <v>9.4895461499235072</v>
      </c>
      <c r="AP13" s="1056" t="str">
        <f>IF(ISNUMBER(Datos!CI13/Datos!CJ13),Datos!CI13/Datos!CJ13," - ")</f>
        <v xml:space="preserve"> - </v>
      </c>
      <c r="AQ13" s="1074">
        <f t="shared" ref="AQ13:AV13" si="3">SUBTOTAL(9,AQ9:AQ12)</f>
        <v>0</v>
      </c>
      <c r="AR13" s="1074">
        <f t="shared" si="3"/>
        <v>-8.6728280961182985E-2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4473</v>
      </c>
      <c r="G15" s="506">
        <f>IF(ISNUMBER(IF(D_I="SI",Datos!I15,Datos!I15+Datos!AC15)),IF(D_I="SI",Datos!I15,Datos!I15+Datos!AC15)," - ")</f>
        <v>4617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3467</v>
      </c>
      <c r="Z15" s="703">
        <f>IF(ISNUMBER(Datos!Q15),Datos!Q15," - ")</f>
        <v>44</v>
      </c>
      <c r="AA15" s="505">
        <f>IF(ISNUMBER(IF(D_I="SI",Datos!L15,Datos!L15+Datos!AF15)),IF(D_I="SI",Datos!L15,Datos!L15+Datos!AF15)," - ")</f>
        <v>4280</v>
      </c>
      <c r="AB15" s="503"/>
      <c r="AC15" s="503"/>
      <c r="AD15" s="516"/>
      <c r="AE15" s="516">
        <f>IF(ISNUMBER(Datos!R15),Datos!R15," - ")</f>
        <v>283</v>
      </c>
      <c r="AF15" s="619" t="str">
        <f>IF(ISNUMBER(Datos!BV15),Datos!BV15," - ")</f>
        <v xml:space="preserve"> - </v>
      </c>
      <c r="AG15" s="506"/>
      <c r="AH15" s="507"/>
      <c r="AI15" s="508"/>
      <c r="AJ15" s="506">
        <f>IF(ISNUMBER(Datos!M15),Datos!M15," - ")</f>
        <v>435</v>
      </c>
      <c r="AK15" s="619">
        <f>IF(ISNUMBER(Datos!N15),Datos!N15," - ")</f>
        <v>2211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3.7034900490337468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284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402</v>
      </c>
      <c r="Z17" s="703">
        <f>IF(ISNUMBER(Datos!Q17),Datos!Q17," - ")</f>
        <v>4</v>
      </c>
      <c r="AA17" s="505">
        <f>IF(ISNUMBER(Datos!L17),Datos!L17,"-")</f>
        <v>249</v>
      </c>
      <c r="AB17" s="503"/>
      <c r="AC17" s="503"/>
      <c r="AD17" s="516"/>
      <c r="AE17" s="516">
        <f>IF(ISNUMBER(Datos!R17),Datos!R17," - ")</f>
        <v>15</v>
      </c>
      <c r="AF17" s="619" t="str">
        <f>IF(ISNUMBER(Datos!BV17),Datos!BV17," - ")</f>
        <v xml:space="preserve"> - </v>
      </c>
      <c r="AG17" s="506" t="str">
        <f>IF(ISNUMBER(Datos!DV17),Datos!DV17," - ")</f>
        <v xml:space="preserve"> - </v>
      </c>
      <c r="AH17" s="507"/>
      <c r="AI17" s="508"/>
      <c r="AJ17" s="506">
        <f>IF(ISNUMBER(Datos!M17),Datos!M17," - ")</f>
        <v>63</v>
      </c>
      <c r="AK17" s="619">
        <f>IF(ISNUMBER(Datos!N17),Datos!N17," - ")</f>
        <v>230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1.8582089552238807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4473</v>
      </c>
      <c r="G18" s="1044">
        <f>SUBTOTAL(9,G15:G17)</f>
        <v>4901</v>
      </c>
      <c r="H18" s="1078">
        <f>SUBTOTAL(9,H15:H17)</f>
        <v>0</v>
      </c>
      <c r="I18" s="1057">
        <f>SUBTOTAL(9,I15:I17)</f>
        <v>0</v>
      </c>
      <c r="J18" s="1013">
        <f>SUBTOTAL(9,J14:J17)</f>
        <v>0</v>
      </c>
      <c r="K18" s="1078">
        <f t="shared" ref="K18:S18" si="4">SUBTOTAL(9,K15:K17)</f>
        <v>0</v>
      </c>
      <c r="L18" s="1078">
        <f t="shared" si="4"/>
        <v>0</v>
      </c>
      <c r="M18" s="1078">
        <f t="shared" si="4"/>
        <v>0</v>
      </c>
      <c r="N18" s="1078">
        <f t="shared" si="4"/>
        <v>60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3869</v>
      </c>
      <c r="Z18" s="1078">
        <f t="shared" si="5"/>
        <v>48</v>
      </c>
      <c r="AA18" s="1078">
        <f t="shared" si="5"/>
        <v>4529</v>
      </c>
      <c r="AB18" s="1078">
        <f t="shared" si="5"/>
        <v>0</v>
      </c>
      <c r="AC18" s="1078">
        <f t="shared" si="5"/>
        <v>0</v>
      </c>
      <c r="AD18" s="1078">
        <f t="shared" si="5"/>
        <v>0</v>
      </c>
      <c r="AE18" s="1078">
        <f t="shared" si="5"/>
        <v>298</v>
      </c>
      <c r="AF18" s="1078">
        <f t="shared" si="5"/>
        <v>0</v>
      </c>
      <c r="AG18" s="1078">
        <f t="shared" si="5"/>
        <v>0</v>
      </c>
      <c r="AH18" s="1078">
        <f t="shared" si="5"/>
        <v>0</v>
      </c>
      <c r="AI18" s="1078">
        <f t="shared" si="5"/>
        <v>0</v>
      </c>
      <c r="AJ18" s="1078">
        <f t="shared" si="5"/>
        <v>498</v>
      </c>
      <c r="AK18" s="1078">
        <f t="shared" si="5"/>
        <v>2441</v>
      </c>
      <c r="AL18" s="1078">
        <f t="shared" si="5"/>
        <v>0</v>
      </c>
      <c r="AM18" s="1078">
        <f t="shared" si="5"/>
        <v>0</v>
      </c>
      <c r="AN18" s="1078">
        <f t="shared" si="5"/>
        <v>0</v>
      </c>
      <c r="AO18" s="1080">
        <f>IF(ISNUMBER(((NºAsuntos!I18/NºAsuntos!G18)*11)/factor_trimestre),((NºAsuntos!I18/NºAsuntos!G18)*11)/factor_trimestre," - ")</f>
        <v>3.5117601447402436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4614</v>
      </c>
      <c r="G19" s="966">
        <f t="shared" si="7"/>
        <v>5042</v>
      </c>
      <c r="H19" s="967">
        <f t="shared" si="7"/>
        <v>0</v>
      </c>
      <c r="I19" s="966">
        <f t="shared" si="7"/>
        <v>0</v>
      </c>
      <c r="J19" s="968">
        <f t="shared" si="7"/>
        <v>0</v>
      </c>
      <c r="K19" s="966">
        <f t="shared" si="7"/>
        <v>0</v>
      </c>
      <c r="L19" s="969">
        <f t="shared" si="7"/>
        <v>0</v>
      </c>
      <c r="M19" s="966">
        <f t="shared" si="7"/>
        <v>0</v>
      </c>
      <c r="N19" s="967">
        <f t="shared" si="7"/>
        <v>518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3916</v>
      </c>
      <c r="Z19" s="973">
        <f t="shared" si="8"/>
        <v>293</v>
      </c>
      <c r="AA19" s="974">
        <f t="shared" si="8"/>
        <v>4653</v>
      </c>
      <c r="AB19" s="974">
        <f t="shared" si="8"/>
        <v>0</v>
      </c>
      <c r="AC19" s="974">
        <f t="shared" si="8"/>
        <v>0</v>
      </c>
      <c r="AD19" s="975">
        <f t="shared" si="8"/>
        <v>0</v>
      </c>
      <c r="AE19" s="975">
        <f t="shared" si="8"/>
        <v>7028</v>
      </c>
      <c r="AF19" s="976">
        <f t="shared" si="8"/>
        <v>0</v>
      </c>
      <c r="AG19" s="977">
        <f t="shared" si="8"/>
        <v>0</v>
      </c>
      <c r="AH19" s="978">
        <f t="shared" si="8"/>
        <v>0</v>
      </c>
      <c r="AI19" s="976">
        <f t="shared" si="8"/>
        <v>0</v>
      </c>
      <c r="AJ19" s="966">
        <f t="shared" si="8"/>
        <v>1160</v>
      </c>
      <c r="AK19" s="966">
        <f t="shared" si="8"/>
        <v>3162</v>
      </c>
      <c r="AL19" s="966">
        <f t="shared" si="8"/>
        <v>0</v>
      </c>
      <c r="AM19" s="979">
        <f t="shared" si="8"/>
        <v>0</v>
      </c>
      <c r="AN19" s="969">
        <f>IF(ISNUMBER(Datos!K19/Datos!J19),Datos!K19/Datos!J19," - ")</f>
        <v>0.97472677595628421</v>
      </c>
      <c r="AO19" s="969">
        <f>IF(ISNUMBER(FIND("06",Criterios!A8,1)),(IF(ISNUMBER(((Datos!R19/Datos!Q19)*11)/factor_trimestre),((Datos!R19/Datos!Q19)*11)/factor_trimestre," - ")),(IF(ISNUMBER(((Datos!L19/Datos!K19)*11)/factor_trimestre),((Datos!L19/Datos!K19)*11)/factor_trimestre," - ")))</f>
        <v>5.5548353188507358</v>
      </c>
      <c r="AP19" s="980" t="str">
        <f>IF(ISNUMBER(Datos!CI19/Datos!CJ19),Datos!CI19/Datos!CJ19," - ")</f>
        <v xml:space="preserve"> - </v>
      </c>
      <c r="AQ19" s="980">
        <f>IF(OR(ISNUMBER(FIND("01",Criterios!A8,1)),ISNUMBER(FIND("02",Criterios!A8,1)),ISNUMBER(FIND("03",Criterios!A8,1)),ISNUMBER(FIND("04",Criterios!A8,1))),(J19-Y19+K19)/(F19-K19),(I19-Y19+K19)/(F19-K19))</f>
        <v>-0.84872128305158212</v>
      </c>
      <c r="AR19" s="980">
        <f>IF(ISNUMBER((Datos!P19-Datos!Q19+O19)/(Datos!R19-Datos!P19+Datos!Q19-O19)),(Datos!P19-Datos!Q19+O19)/(Datos!R19-Datos!P19+Datos!Q19-O19)," - ")</f>
        <v>3.3073643980596798E-2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2016.8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2501.0813661294587</v>
      </c>
      <c r="G21" s="600">
        <f>IF(ISNUMBER(STDEV(G8:G18)),STDEV(G8:G18),"-")</f>
        <v>2505.9677172701167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279.2831299356742</v>
      </c>
      <c r="AK21" s="256"/>
      <c r="AL21" s="256">
        <f>IF(ISNUMBER(STDEV(AL8:AL18)),STDEV(AL8:AL18),"-")</f>
        <v>0</v>
      </c>
      <c r="AM21" s="258">
        <f>IF(ISNUMBER(STDEV(AM8:AM18)),STDEV(AM8:AM18),"-")</f>
        <v>0</v>
      </c>
      <c r="AN21" s="586">
        <f>IF(ISNUMBER(STDEV(AN8:AN18)),STDEV(AN8:AN18),"-")</f>
        <v>0</v>
      </c>
      <c r="AO21" s="587">
        <f>IF(ISNUMBER(STDEV(AO8:AO18)),STDEV(AO8:AO18),"-")</f>
        <v>3.3737741598165103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M+eYWUCRX/qJC4q3mtzisNrHTQxRYjSQfj+OdbtMJw7cERFNh0WeVVPuAkG4bbN3vUuoNfuGjUiUabjj7gFbA==" saltValue="1mYeNTrHzJcEfYgMXpN0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jDGSWL2j2Xb2FJuPuVA19q7GJBUZv3psgYplpzQNCrLfzO3ZyvDFG/sBhvW78gGYbiHzqDvZwWAV7CIbjBSw==" saltValue="3LPBGDD08ERd8BuL8Th8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dXZCaNo/zVmnSKRYVeYL7O1IC9icrhGDfHZPYf8bwbyLouFYaZLb0IA2BrlwqbKXqmM9t9g9h2P4rgr6si1dg==" saltValue="TpRt5Nah8TQNW6XHWTX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EIVISSA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0.33758286588475267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0.23870713367949742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2asRN5XaXGX344y8G+teFwkq7XNtIggdo+3XVoyl2PMt0U6B7zbwwETIqOdX0wfAL2U4Vo47UCBEwt3X+NPthA==" saltValue="xZgO5uBN4kgxuUVK5b+o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3ZtiYStDoZMNsUqgT2iBHFX8gP9kCq7yLQAX/71kmI/zi3V2IMSXxDzFi3739NduqT+umBSQadScLrZSi57OQ==" saltValue="i3PFNlabfasHQyLyM24z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EIVISSA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5682</v>
      </c>
      <c r="D9" s="415">
        <f>IF(ISNUMBER(C9/Datos!BH9),C9/Datos!BH9," - ")</f>
        <v>1136.4000000000001</v>
      </c>
      <c r="E9" s="414">
        <f>IF(ISNUMBER(IF(J_V="SI",Datos!J9,Datos!J9+Datos!Z9)),IF(J_V="SI",Datos!J9,Datos!J9+Datos!Z9)," - ")</f>
        <v>2307</v>
      </c>
      <c r="F9" s="415">
        <f>IF(ISNUMBER(E9/B9),E9/B9," - ")</f>
        <v>461.4</v>
      </c>
      <c r="G9" s="414">
        <f>IF(ISNUMBER(IF(J_V="SI",Datos!K9,Datos!K9+Datos!AA9)),IF(J_V="SI",Datos!K9,Datos!K9+Datos!AA9)," - ")</f>
        <v>1914</v>
      </c>
      <c r="H9" s="415">
        <f>IF(ISNUMBER(G9/B9),G9/B9," - ")</f>
        <v>382.8</v>
      </c>
      <c r="I9" s="414">
        <f>IF(ISNUMBER(IF(J_V="SI",Datos!L9,Datos!L9+Datos!AB9)),IF(J_V="SI",Datos!L9,Datos!L9+Datos!AB9)," - ")</f>
        <v>6079</v>
      </c>
      <c r="J9" s="415">
        <f>IF(ISNUMBER(I9/B9),I9/B9," - ")</f>
        <v>1215.8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141</v>
      </c>
      <c r="D10" s="415">
        <f>IF(ISNUMBER(C10/Datos!BH10),C10/Datos!BH10," - ")</f>
        <v>141</v>
      </c>
      <c r="E10" s="414">
        <f>IF(ISNUMBER(Datos!J10),Datos!J10," - ")</f>
        <v>30</v>
      </c>
      <c r="F10" s="415">
        <f>IF(ISNUMBER(E10/B10),E10/B10," - ")</f>
        <v>30</v>
      </c>
      <c r="G10" s="414">
        <f>IF(ISNUMBER(Datos!K10),Datos!K10," - ")</f>
        <v>47</v>
      </c>
      <c r="H10" s="415">
        <f>IF(ISNUMBER(G10/B10),G10/B10," - ")</f>
        <v>47</v>
      </c>
      <c r="I10" s="414">
        <f>IF(ISNUMBER(Datos!L10),Datos!L10," - ")</f>
        <v>124</v>
      </c>
      <c r="J10" s="415">
        <f>IF(ISNUMBER(I10/B10),I10/B10," - ")</f>
        <v>124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5823</v>
      </c>
      <c r="D13" s="996" t="str">
        <f>IF(ISNUMBER(C13/Datos!BI13),C13/Datos!BI13," - ")</f>
        <v xml:space="preserve"> - </v>
      </c>
      <c r="E13" s="995">
        <f>SUBTOTAL(9,E8:E12)</f>
        <v>2337</v>
      </c>
      <c r="F13" s="996">
        <f>IF(ISNUMBER(E13/B13),E13/B13," - ")</f>
        <v>389.5</v>
      </c>
      <c r="G13" s="995">
        <f>SUBTOTAL(9,G8:G12)</f>
        <v>1961</v>
      </c>
      <c r="H13" s="996">
        <f>IF(ISNUMBER(G13/B13),G13/B13," - ")</f>
        <v>326.83333333333331</v>
      </c>
      <c r="I13" s="995">
        <f>SUBTOTAL(9,I8:I12)</f>
        <v>6203</v>
      </c>
      <c r="J13" s="996">
        <f>IF(ISNUMBER(I13/B13),I13/B13," - ")</f>
        <v>1033.8333333333333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4617</v>
      </c>
      <c r="D15" s="415">
        <f>IF(ISNUMBER(C15/Datos!BH15),C15/Datos!BH15," - ")</f>
        <v>1154.25</v>
      </c>
      <c r="E15" s="414">
        <f>IF(ISNUMBER(IF(D_I="SI",Datos!J15,Datos!J15+Datos!AD15)),IF(D_I="SI",Datos!J15,Datos!J15+Datos!AD15)," - ")</f>
        <v>3274</v>
      </c>
      <c r="F15" s="415">
        <f>IF(ISNUMBER(E15/B15),E15/B15," - ")</f>
        <v>818.5</v>
      </c>
      <c r="G15" s="414">
        <f>IF(ISNUMBER(IF(D_I="SI",Datos!K15,Datos!K15+Datos!AE15)),IF(D_I="SI",Datos!K15,Datos!K15+Datos!AE15)," - ")</f>
        <v>3467</v>
      </c>
      <c r="H15" s="415">
        <f>IF(ISNUMBER(G15/B15),G15/B15," - ")</f>
        <v>866.75</v>
      </c>
      <c r="I15" s="414">
        <f>IF(ISNUMBER(IF(D_I="SI",Datos!L15,Datos!L15+Datos!AF15)),IF(D_I="SI",Datos!L15,Datos!L15+Datos!AF15)," - ")</f>
        <v>4280</v>
      </c>
      <c r="J15" s="415">
        <f>IF(ISNUMBER(I15/B15),I15/B15," - ")</f>
        <v>1070</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284</v>
      </c>
      <c r="D17" s="415">
        <f>IF(ISNUMBER(C17/Datos!BH17),C17/Datos!BH17," - ")</f>
        <v>284</v>
      </c>
      <c r="E17" s="414">
        <f>IF(ISNUMBER(IF(D_I="SI",Datos!J17,Datos!J17+Datos!AD17)),IF(D_I="SI",Datos!J17,Datos!J17+Datos!AD17)," - ")</f>
        <v>367</v>
      </c>
      <c r="F17" s="415">
        <f>IF(ISNUMBER(E17/B17),E17/B17," - ")</f>
        <v>367</v>
      </c>
      <c r="G17" s="414">
        <f>IF(ISNUMBER(IF(D_I="SI",Datos!K17,Datos!K17+Datos!AE17)),IF(D_I="SI",Datos!K17,Datos!K17+Datos!AE17)," - ")</f>
        <v>402</v>
      </c>
      <c r="H17" s="415">
        <f>IF(ISNUMBER(G17/B17),G17/B17," - ")</f>
        <v>402</v>
      </c>
      <c r="I17" s="414">
        <f>IF(ISNUMBER(IF(D_I="SI",Datos!L17,Datos!L17+Datos!AF17)),IF(D_I="SI",Datos!L17,Datos!L17+Datos!AF17)," - ")</f>
        <v>249</v>
      </c>
      <c r="J17" s="415">
        <f>IF(ISNUMBER(I17/B17),I17/B17," - ")</f>
        <v>249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4901</v>
      </c>
      <c r="D18" s="996" t="str">
        <f>IF(ISNUMBER(C18/Datos!BI18),C18/Datos!BI18," - ")</f>
        <v xml:space="preserve"> - </v>
      </c>
      <c r="E18" s="995">
        <f>SUBTOTAL(9,E14:E17)</f>
        <v>3641</v>
      </c>
      <c r="F18" s="996">
        <f>IF(ISNUMBER(E18/B18),E18/B18," - ")</f>
        <v>728.2</v>
      </c>
      <c r="G18" s="995">
        <f>SUBTOTAL(9,G14:G17)</f>
        <v>3869</v>
      </c>
      <c r="H18" s="996">
        <f>IF(ISNUMBER(G18/B18),G18/B18," - ")</f>
        <v>773.8</v>
      </c>
      <c r="I18" s="995">
        <f>SUBTOTAL(9,I14:I17)</f>
        <v>4529</v>
      </c>
      <c r="J18" s="996">
        <f>IF(ISNUMBER(I18/B18),I18/B18," - ")</f>
        <v>905.8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10724</v>
      </c>
      <c r="D19" s="941" t="str">
        <f>IF(ISNUMBER(C19/Datos!BI19),C19/Datos!BI19," - ")</f>
        <v xml:space="preserve"> - </v>
      </c>
      <c r="E19" s="940">
        <f>SUBTOTAL(9,E9:E18)</f>
        <v>5978</v>
      </c>
      <c r="F19" s="941">
        <f>IF(ISNUMBER(E19/B19),E19/B19," - ")</f>
        <v>597.79999999999995</v>
      </c>
      <c r="G19" s="940">
        <f>SUBTOTAL(9,G9:G18)</f>
        <v>5830</v>
      </c>
      <c r="H19" s="941">
        <f>IF(ISNUMBER(G19/B19),G19/B19," - ")</f>
        <v>583</v>
      </c>
      <c r="I19" s="940">
        <f>SUBTOTAL(9,I9:I18)</f>
        <v>10732</v>
      </c>
      <c r="J19" s="941">
        <f>IF(ISNUMBER(I19/B19),I19/B19," - ")</f>
        <v>1073.2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v1DpaHpG9XeOfbVyE79pFwEslO4i9wM1zjRtZkOE442X3j7Ko+yEox7hd6SbmosRktxjTTWkBz1O+BYynzhFg==" saltValue="vxSIlKffXKFoI+CbAYWl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EIVISSA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141</v>
      </c>
      <c r="G10" s="802">
        <f>IF(ISNUMBER(Datos!I10),Datos!I10," - ")</f>
        <v>141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47</v>
      </c>
      <c r="AC10" s="801" t="str">
        <f>IF(ISNUMBER(IF(D_I="SI",DatosP!K17,DatosP!K17+DatosP!AE17)),IF(D_I="SI",DatosP!K17,DatosP!K17+DatosP!AE17)," - ")</f>
        <v xml:space="preserve"> - </v>
      </c>
      <c r="AD10" s="803"/>
      <c r="AE10" s="803"/>
      <c r="AF10" s="806">
        <f>IF(ISNUMBER(Datos!L10),Datos!L10,"-")</f>
        <v>124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24</v>
      </c>
      <c r="AM10" s="810">
        <f>IF(ISNUMBER(Datos!N10+DatosP!N17),Datos!N10+DatosP!N17," - ")</f>
        <v>24</v>
      </c>
      <c r="AN10" s="810">
        <f>IF(ISNUMBER(Datos!BW10+DatosP!BW17),Datos!BW10+DatosP!BW17," - ")</f>
        <v>0</v>
      </c>
      <c r="AO10" s="811">
        <f>IF(ISNUMBER(Datos!BX10+DatosP!BX17),Datos!BX10+DatosP!BX17," - ")</f>
        <v>0</v>
      </c>
      <c r="AP10" s="813">
        <f>IF(ISNUMBER(((Datos!L10/Datos!K10)*11)/factor_trimestre),((Datos!L10/Datos!K10)*11)/factor_trimestre," - ")</f>
        <v>7.9148936170212769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141</v>
      </c>
      <c r="G13" s="1084">
        <f t="shared" si="0"/>
        <v>141</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47</v>
      </c>
      <c r="AC13" s="1085">
        <f t="shared" si="1"/>
        <v>0</v>
      </c>
      <c r="AD13" s="1085">
        <f t="shared" si="1"/>
        <v>0</v>
      </c>
      <c r="AE13" s="1085">
        <f t="shared" si="1"/>
        <v>0</v>
      </c>
      <c r="AF13" s="1085">
        <f t="shared" si="1"/>
        <v>124</v>
      </c>
      <c r="AG13" s="1085">
        <f t="shared" si="1"/>
        <v>0</v>
      </c>
      <c r="AH13" s="1085">
        <f t="shared" si="1"/>
        <v>0</v>
      </c>
      <c r="AI13" s="1085">
        <f t="shared" si="1"/>
        <v>0</v>
      </c>
      <c r="AJ13" s="1085">
        <f t="shared" si="1"/>
        <v>0</v>
      </c>
      <c r="AK13" s="1085">
        <f t="shared" si="1"/>
        <v>0</v>
      </c>
      <c r="AL13" s="1085">
        <f t="shared" si="1"/>
        <v>24</v>
      </c>
      <c r="AM13" s="1085">
        <f t="shared" si="1"/>
        <v>24</v>
      </c>
      <c r="AN13" s="1085">
        <f t="shared" si="1"/>
        <v>0</v>
      </c>
      <c r="AO13" s="1085">
        <f t="shared" si="1"/>
        <v>0</v>
      </c>
      <c r="AP13" s="1090">
        <f>IF(ISNUMBER(((Datos!L13/Datos!K13)*11)/factor_trimestre),((Datos!L13/Datos!K13)*11)/factor_trimestre," - ")</f>
        <v>9.8531810766721044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3.5117601447402436</v>
      </c>
      <c r="AQ18" s="1090">
        <f>IF(ISNUMBER(((Datos!M18/Datos!L18)*11)/factor_trimestre),((Datos!M18/Datos!L18)*11)/factor_trimestre," - ")</f>
        <v>0.32987414440273788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4.195804195804196E-2</v>
      </c>
      <c r="AW18" s="1092">
        <f>IF(ISNUMBER((Datos!Q18-Datos!R18)/(Datos!S18-Datos!Q18+Datos!R18)),(Datos!Q18-Datos!R18)/(Datos!S18-Datos!Q18+Datos!R18)," - ")</f>
        <v>-5.1877982984021583E-2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141</v>
      </c>
      <c r="G19" s="1097">
        <f t="shared" si="4"/>
        <v>141</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47</v>
      </c>
      <c r="AC19" s="1103">
        <f t="shared" si="5"/>
        <v>0</v>
      </c>
      <c r="AD19" s="1103">
        <f t="shared" si="5"/>
        <v>0</v>
      </c>
      <c r="AE19" s="1103">
        <f t="shared" si="5"/>
        <v>0</v>
      </c>
      <c r="AF19" s="1104">
        <f t="shared" si="5"/>
        <v>124</v>
      </c>
      <c r="AG19" s="1104">
        <f t="shared" si="5"/>
        <v>0</v>
      </c>
      <c r="AH19" s="1104">
        <f t="shared" si="5"/>
        <v>0</v>
      </c>
      <c r="AI19" s="1104">
        <f t="shared" si="5"/>
        <v>0</v>
      </c>
      <c r="AJ19" s="1105">
        <f t="shared" si="5"/>
        <v>0</v>
      </c>
      <c r="AK19" s="1105">
        <f t="shared" si="5"/>
        <v>0</v>
      </c>
      <c r="AL19" s="1097">
        <f t="shared" si="5"/>
        <v>24</v>
      </c>
      <c r="AM19" s="1097">
        <f t="shared" si="5"/>
        <v>24</v>
      </c>
      <c r="AN19" s="1097">
        <f t="shared" si="5"/>
        <v>0</v>
      </c>
      <c r="AO19" s="1097">
        <f t="shared" si="5"/>
        <v>0</v>
      </c>
      <c r="AP19" s="1097">
        <f>IF(ISNUMBER(((Datos!L19/Datos!K19)*11)/factor_trimestre),((Datos!L19/Datos!K19)*11)/factor_trimestre," - ")</f>
        <v>5.5548353188507358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3.3073643980596798E-2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81.40638795573723</v>
      </c>
      <c r="G21" s="870">
        <f>IF(ISNUMBER(STDEV(G8:G18)),STDEV(G8:G18),"-")</f>
        <v>81.40638795573723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27.135462651912409</v>
      </c>
      <c r="AC21" s="871">
        <f>IF(ISNUMBER(STDEV(AC8:AC18)),STDEV(AC8:AC18),"-")</f>
        <v>0</v>
      </c>
      <c r="AD21" s="874"/>
      <c r="AE21" s="874"/>
      <c r="AF21" s="874"/>
      <c r="AG21" s="874"/>
      <c r="AH21" s="874"/>
      <c r="AI21" s="874"/>
      <c r="AJ21" s="875">
        <f>IF(ISNUMBER(STDEV(AJ8:AJ18)),STDEV(AJ8:AJ18),"-")</f>
        <v>0</v>
      </c>
      <c r="AK21" s="877"/>
      <c r="AL21" s="869">
        <f>IF(ISNUMBER(STDEV(AL8:AL18)),STDEV(AL8:AL18),"-")</f>
        <v>13.856406460551018</v>
      </c>
      <c r="AM21" s="869"/>
      <c r="AN21" s="869">
        <f>IF(ISNUMBER(STDEV(AN8:AN18)),STDEV(AN8:AN18),"-")</f>
        <v>0</v>
      </c>
      <c r="AO21" s="875">
        <f>IF(ISNUMBER(STDEV(AO8:AO18)),STDEV(AO8:AO18),"-")</f>
        <v>0</v>
      </c>
      <c r="AP21" s="922">
        <f>IF(ISNUMBER(STDEV(AP8:AP18)),STDEV(AP8:AP18),"-")</f>
        <v>3.2495682299577568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xF+w34a28ceD1FZjfnsEkGbPihkpzwDmI2DRs/AjidXnIRC3CqM8HzBXHx3/Mz2qkI5iYHnCb+zdJIUtKlRA==" saltValue="liUF6nBqZ5OxAnDSgBkK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EIVISSA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rI0mJ6mGoYkOP3YaOUbyIlEV4AO+SiKBV7RH9LbV2iA6KxOSO2bUOaSQ+dQmweEQjDGWIu2bHZJXFx5GaGvDQ==" saltValue="xtGUWTNfU4lEOWMaHbMy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EIVISSA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638</v>
      </c>
      <c r="E9" s="415">
        <f t="shared" ref="E9:E13" si="0">IF(ISNUMBER(D9/B9),D9/B9," - ")</f>
        <v>127.6</v>
      </c>
      <c r="F9" s="414">
        <f>IF(ISNUMBER(Datos!N9),Datos!N9," - ")</f>
        <v>697</v>
      </c>
      <c r="G9" s="415">
        <f t="shared" ref="G9:G13" si="1">IF(ISNUMBER(F9/B9),F9/B9," - ")</f>
        <v>139.4</v>
      </c>
      <c r="H9" s="414">
        <f>IF(ISNUMBER(Datos!O9),Datos!O9," - ")</f>
        <v>695</v>
      </c>
      <c r="I9" s="415">
        <f>IF(ISNUMBER(H9/B9),H9/B9," - ")</f>
        <v>139</v>
      </c>
    </row>
    <row r="10" spans="1:9">
      <c r="A10" s="413" t="str">
        <f>Datos!A10</f>
        <v>Jdos. Violencia contra la mujer</v>
      </c>
      <c r="B10" s="443">
        <f>Datos!AO10</f>
        <v>1</v>
      </c>
      <c r="C10" s="421">
        <f>Datos!AQ10</f>
        <v>1</v>
      </c>
      <c r="D10" s="414">
        <f>IF(ISNUMBER(Datos!M10),Datos!M10," - ")</f>
        <v>24</v>
      </c>
      <c r="E10" s="415">
        <f>IF(ISNUMBER(D10/B10),D10/B10," - ")</f>
        <v>24</v>
      </c>
      <c r="F10" s="414">
        <f>IF(ISNUMBER(Datos!N10),Datos!N10," - ")</f>
        <v>24</v>
      </c>
      <c r="G10" s="415">
        <f>IF(ISNUMBER(F10/B10),F10/B10," - ")</f>
        <v>24</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6</v>
      </c>
      <c r="D13" s="995">
        <f>SUBTOTAL(9,D9:D12)</f>
        <v>662</v>
      </c>
      <c r="E13" s="996">
        <f t="shared" si="0"/>
        <v>110.33333333333333</v>
      </c>
      <c r="F13" s="995">
        <f>SUBTOTAL(9,F9:F12)</f>
        <v>721</v>
      </c>
      <c r="G13" s="996">
        <f t="shared" si="1"/>
        <v>120.16666666666667</v>
      </c>
      <c r="H13" s="995">
        <f>SUBTOTAL(9,H9:H12)</f>
        <v>697</v>
      </c>
      <c r="I13" s="996">
        <f>IF(ISNUMBER(H13/B13),H13/B13," - ")</f>
        <v>116.16666666666667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435</v>
      </c>
      <c r="E15" s="415">
        <f t="shared" ref="E15:E18" si="3">IF(ISNUMBER(D15/B15),D15/B15," - ")</f>
        <v>108.75</v>
      </c>
      <c r="F15" s="414">
        <f>IF(ISNUMBER(Datos!N15),Datos!N15," - ")</f>
        <v>2211</v>
      </c>
      <c r="G15" s="415">
        <f t="shared" ref="G15:G18" si="4">IF(ISNUMBER(F15/B15),F15/B15," - ")</f>
        <v>552.75</v>
      </c>
      <c r="H15" s="414">
        <f>IF(ISNUMBER(Datos!O15),Datos!O15," - ")</f>
        <v>1</v>
      </c>
      <c r="I15" s="415">
        <f t="shared" ref="I15:I17" si="5">IF(ISNUMBER(H15/B15),H15/B15," - ")</f>
        <v>0.25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63</v>
      </c>
      <c r="E17" s="415">
        <f>IF(ISNUMBER(D17/B17),D17/B17," - ")</f>
        <v>63</v>
      </c>
      <c r="F17" s="414">
        <f>IF(ISNUMBER(Datos!N17),Datos!N17," - ")</f>
        <v>230</v>
      </c>
      <c r="G17" s="415">
        <f>IF(ISNUMBER(F17/B17),F17/B17," - ")</f>
        <v>230</v>
      </c>
      <c r="H17" s="414">
        <f>IF(ISNUMBER(Datos!O17),Datos!O17," - ")</f>
        <v>4</v>
      </c>
      <c r="I17" s="415">
        <f t="shared" si="5"/>
        <v>4</v>
      </c>
    </row>
    <row r="18" spans="1:9" ht="14.25" thickTop="1" thickBot="1">
      <c r="A18" s="994" t="str">
        <f>Datos!A18</f>
        <v>TOTAL</v>
      </c>
      <c r="B18" s="995">
        <f>Datos!AO18</f>
        <v>5</v>
      </c>
      <c r="C18" s="997">
        <f>Datos!AR18</f>
        <v>5</v>
      </c>
      <c r="D18" s="995">
        <f>SUBTOTAL(9,D15:D17)</f>
        <v>498</v>
      </c>
      <c r="E18" s="996">
        <f t="shared" si="3"/>
        <v>99.6</v>
      </c>
      <c r="F18" s="995">
        <f>SUBTOTAL(9,F15:F17)</f>
        <v>2441</v>
      </c>
      <c r="G18" s="996">
        <f t="shared" si="4"/>
        <v>488.2</v>
      </c>
      <c r="H18" s="995">
        <f>SUBTOTAL(9,H15:H17)</f>
        <v>5</v>
      </c>
      <c r="I18" s="996">
        <f>IF(ISNUMBER(H18/B18),H18/B18," - ")</f>
        <v>1</v>
      </c>
    </row>
    <row r="19" spans="1:9" ht="14.25" thickTop="1" thickBot="1">
      <c r="A19" s="939" t="str">
        <f>Datos!A19</f>
        <v>TOTAL JURISDICCIONES</v>
      </c>
      <c r="B19" s="940">
        <f>Datos!AP19</f>
        <v>10</v>
      </c>
      <c r="C19" s="940">
        <f>Datos!AR19</f>
        <v>10</v>
      </c>
      <c r="D19" s="940">
        <f>SUBTOTAL(9,D8:D18)</f>
        <v>1160</v>
      </c>
      <c r="E19" s="941">
        <f>IF(ISNUMBER(D19/B19),D19/B19," - ")</f>
        <v>116</v>
      </c>
      <c r="F19" s="940">
        <f>SUBTOTAL(9,F8:F18)</f>
        <v>3162</v>
      </c>
      <c r="G19" s="941">
        <f>IF(ISNUMBER(F19/B19),F19/B19," - ")</f>
        <v>316.2</v>
      </c>
      <c r="H19" s="940">
        <f>SUBTOTAL(9,H8:H18)</f>
        <v>702</v>
      </c>
      <c r="I19" s="941">
        <f>IF(ISNUMBER(H19/B19),H19/B19," - ")</f>
        <v>70.2</v>
      </c>
    </row>
    <row r="22" spans="1:9">
      <c r="A22" s="402" t="str">
        <f>Criterios!A4</f>
        <v>Fecha Informe: 06 oct. 2023</v>
      </c>
    </row>
    <row r="27" spans="1:9">
      <c r="A27" s="425"/>
    </row>
  </sheetData>
  <sheetProtection algorithmName="SHA-512" hashValue="jaKwY6skvLfdNoRJrZqpU3o0/zCt26yFYM5HRmfUlnesCEJ+Tgt4YcaHzGKOU8BW0tsT7By74KsTfSycrKJ4ag==" saltValue="d2n75L0LPNuo/Ow3nDmh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EIVISSA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455</v>
      </c>
      <c r="C9" s="450">
        <f>IF(ISNUMBER(Datos!Q9),Datos!Q9," - ")</f>
        <v>239</v>
      </c>
      <c r="D9" s="419">
        <f>IF(ISNUMBER(Datos!R9),Datos!R9," - ")</f>
        <v>6708</v>
      </c>
    </row>
    <row r="10" spans="1:4">
      <c r="A10" s="413" t="str">
        <f>Datos!A10</f>
        <v>Jdos. Violencia contra la mujer</v>
      </c>
      <c r="B10" s="449">
        <f>IF(ISNUMBER(Datos!P10),Datos!P10," - ")</f>
        <v>3</v>
      </c>
      <c r="C10" s="450">
        <f>IF(ISNUMBER(Datos!Q10),Datos!Q10," - ")</f>
        <v>6</v>
      </c>
      <c r="D10" s="419">
        <f>IF(ISNUMBER(Datos!R10),Datos!R10," - ")</f>
        <v>22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458</v>
      </c>
      <c r="C13" s="999">
        <f>SUBTOTAL(9,C9:C12)</f>
        <v>245</v>
      </c>
      <c r="D13" s="997">
        <f>SUBTOTAL(9,D9:D12)</f>
        <v>6730</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55</v>
      </c>
      <c r="C15" s="450">
        <f>IF(ISNUMBER(Datos!Q15),Datos!Q15," - ")</f>
        <v>44</v>
      </c>
      <c r="D15" s="419">
        <f>IF(ISNUMBER(Datos!R15),Datos!R15," - ")</f>
        <v>283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5</v>
      </c>
      <c r="C17" s="450">
        <f>IF(ISNUMBER(Datos!Q17),Datos!Q17," - ")</f>
        <v>4</v>
      </c>
      <c r="D17" s="419">
        <f>IF(ISNUMBER(Datos!R17),Datos!R17," - ")</f>
        <v>15</v>
      </c>
    </row>
    <row r="18" spans="1:4" ht="14.25" thickTop="1" thickBot="1">
      <c r="A18" s="994" t="str">
        <f>Datos!A18</f>
        <v>TOTAL</v>
      </c>
      <c r="B18" s="995">
        <f>SUBTOTAL(9,B15:B17)</f>
        <v>60</v>
      </c>
      <c r="C18" s="999">
        <f>SUBTOTAL(9,C15:C17)</f>
        <v>48</v>
      </c>
      <c r="D18" s="997">
        <f>SUBTOTAL(9,D15:D17)</f>
        <v>298</v>
      </c>
    </row>
    <row r="19" spans="1:4" ht="16.5" customHeight="1" thickTop="1" thickBot="1">
      <c r="A19" s="939" t="str">
        <f>Datos!A19</f>
        <v>TOTAL JURISDICCIONES</v>
      </c>
      <c r="B19" s="944">
        <f>SUBTOTAL(9,B8:B18)</f>
        <v>518</v>
      </c>
      <c r="C19" s="945">
        <f>SUBTOTAL(9,C8:C18)</f>
        <v>293</v>
      </c>
      <c r="D19" s="946">
        <f>SUBTOTAL(9,D8:D18)</f>
        <v>7028</v>
      </c>
    </row>
    <row r="20" spans="1:4" ht="7.5" customHeight="1"/>
    <row r="21" spans="1:4" ht="6" customHeight="1"/>
    <row r="22" spans="1:4">
      <c r="A22" s="402" t="str">
        <f>Criterios!A4</f>
        <v>Fecha Informe: 06 oct. 2023</v>
      </c>
    </row>
    <row r="27" spans="1:4">
      <c r="A27" s="425"/>
    </row>
  </sheetData>
  <sheetProtection algorithmName="SHA-512" hashValue="+xQel2JozezXbAOyZBbsJPlJrRVTxW7hVIl6O86AgnxtHAyvejOihfmU4kuEtwXuB6uyhTiZsmU5NJf10ARzuQ==" saltValue="czRicrMsMLwKPAjtreh7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EIVISSA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4.5638571954361426E-2</v>
      </c>
      <c r="C9" s="472">
        <f>IF(ISNUMBER(
   IF(J_V="SI",(Datos!J9-Datos!T9)/Datos!T9,(Datos!J9+Datos!Z9-(Datos!T9+Datos!AH9))/(Datos!T9+Datos!AH9))
     ),IF(J_V="SI",(Datos!J9-Datos!T9)/Datos!T9,(Datos!J9+Datos!Z9-(Datos!T9+Datos!AH9))/(Datos!T9+Datos!AH9))," - ")</f>
        <v>0.18065506653019447</v>
      </c>
      <c r="D9" s="472">
        <f>IF(ISNUMBER(
   IF(J_V="SI",(Datos!K9-Datos!U9)/Datos!U9,(Datos!K9+Datos!AA9-(Datos!U9+Datos!AI9))/(Datos!U9+Datos!AI9))
     ),IF(J_V="SI",(Datos!K9-Datos!U9)/Datos!U9,(Datos!K9+Datos!AA9-(Datos!U9+Datos!AI9))/(Datos!U9+Datos!AI9))," - ")</f>
        <v>-8.6396181384248205E-2</v>
      </c>
      <c r="E9" s="472">
        <f>IF(ISNUMBER(
   IF(J_V="SI",(Datos!L9-Datos!V9)/Datos!V9,(Datos!L9+Datos!AB9-(Datos!V9+Datos!AJ9))/(Datos!V9+Datos!AJ9))
     ),IF(J_V="SI",(Datos!L9-Datos!V9)/Datos!V9,(Datos!L9+Datos!AB9-(Datos!V9+Datos!AJ9))/(Datos!V9+Datos!AJ9))," - ")</f>
        <v>0.14849801624787456</v>
      </c>
      <c r="F9" s="472">
        <f>IF(ISNUMBER((Datos!M9-Datos!W9)/Datos!W9),(Datos!M9-Datos!W9)/Datos!W9," - ")</f>
        <v>0.28112449799196787</v>
      </c>
      <c r="G9" s="473">
        <f>IF(ISNUMBER((Datos!N9-Datos!X9)/Datos!X9),(Datos!N9-Datos!X9)/Datos!X9," - ")</f>
        <v>0.10110584518167456</v>
      </c>
      <c r="H9" s="471">
        <f>IF(ISNUMBER(((NºAsuntos!G9/NºAsuntos!E9)-Datos!BD9)/Datos!BD9),((NºAsuntos!G9/NºAsuntos!E9)-Datos!BD9)/Datos!BD9," - ")</f>
        <v>-0.22618905003243212</v>
      </c>
      <c r="I9" s="472">
        <f>IF(ISNUMBER(((NºAsuntos!I9/NºAsuntos!G9)-Datos!BE9)/Datos!BE9),((NºAsuntos!I9/NºAsuntos!G9)-Datos!BE9)/Datos!BE9," - ")</f>
        <v>0.25710728528698901</v>
      </c>
      <c r="J9" s="477">
        <f>IF(ISNUMBER((('Resol  Asuntos'!D9/NºAsuntos!G9)-Datos!BF9)/Datos!BF9),(('Resol  Asuntos'!D9/NºAsuntos!G9)-Datos!BF9)/Datos!BF9," - ")</f>
        <v>0.10321221695629276</v>
      </c>
      <c r="K9" s="478">
        <f>IF(ISNUMBER((((NºAsuntos!C9+NºAsuntos!E9)/NºAsuntos!G9)-Datos!BG9)/Datos!BG9),(((NºAsuntos!C9+NºAsuntos!E9)/NºAsuntos!G9)-Datos!BG9)/Datos!BG9," - ")</f>
        <v>0.18360728148501421</v>
      </c>
    </row>
    <row r="10" spans="1:11">
      <c r="A10" s="413" t="str">
        <f>Datos!A10</f>
        <v>Jdos. Violencia contra la mujer</v>
      </c>
      <c r="B10" s="471">
        <f>IF(ISNUMBER((Datos!I10-Datos!S10)/Datos!S10),(Datos!I10-Datos!S10)/Datos!S10," - ")</f>
        <v>0.76249999999999996</v>
      </c>
      <c r="C10" s="472">
        <f>IF(ISNUMBER((Datos!J10-Datos!T10)/Datos!T10),(Datos!J10-Datos!T10)/Datos!T10," - ")</f>
        <v>-0.1891891891891892</v>
      </c>
      <c r="D10" s="472">
        <f>IF(ISNUMBER((Datos!K10-Datos!U10)/Datos!U10),(Datos!K10-Datos!U10)/Datos!U10," - ")</f>
        <v>2.1333333333333333</v>
      </c>
      <c r="E10" s="472">
        <f>IF(ISNUMBER((Datos!L10-Datos!V10)/Datos!V10),(Datos!L10-Datos!V10)/Datos!V10," - ")</f>
        <v>0.21568627450980393</v>
      </c>
      <c r="F10" s="472">
        <f>IF(ISNUMBER((Datos!M10-Datos!W10)/Datos!W10),(Datos!M10-Datos!W10)/Datos!W10," - ")</f>
        <v>3</v>
      </c>
      <c r="G10" s="473">
        <f>IF(ISNUMBER((Datos!N10-Datos!X10)/Datos!X10),(Datos!N10-Datos!X10)/Datos!X10," - ")</f>
        <v>2.4285714285714284</v>
      </c>
      <c r="H10" s="471">
        <f>IF(ISNUMBER(((NºAsuntos!G10/NºAsuntos!E10)-Datos!BD10)/Datos!BD10),((NºAsuntos!G10/NºAsuntos!E10)-Datos!BD10)/Datos!BD10," - ")</f>
        <v>2.8644444444444441</v>
      </c>
      <c r="I10" s="472">
        <f>IF(ISNUMBER(((NºAsuntos!I10/NºAsuntos!G10)-Datos!BE10)/Datos!BE10),((NºAsuntos!I10/NºAsuntos!G10)-Datos!BE10)/Datos!BE10," - ")</f>
        <v>-0.61201501877346687</v>
      </c>
      <c r="J10" s="477">
        <f>IF(ISNUMBER((('Resol  Asuntos'!D10/NºAsuntos!G10)-Datos!BF10)/Datos!BF10),(('Resol  Asuntos'!D10/NºAsuntos!G10)-Datos!BF10)/Datos!BF10," - ")</f>
        <v>0.27659574468085091</v>
      </c>
      <c r="K10" s="478">
        <f>IF(ISNUMBER((((NºAsuntos!C10+NºAsuntos!E10)/NºAsuntos!G10)-Datos!BG10)/Datos!BG10),(((NºAsuntos!C10+NºAsuntos!E10)/NºAsuntos!G10)-Datos!BG10)/Datos!BG10," - ")</f>
        <v>-0.53355155482815053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5.6039173014145807E-2</v>
      </c>
      <c r="C13" s="1001">
        <f>IF(ISNUMBER(
   IF(J_V="SI",(Datos!J13-Datos!T13)/Datos!T13,(Datos!J13+Datos!Z13-(Datos!T13+Datos!AH13))/(Datos!T13+Datos!AH13))
     ),IF(J_V="SI",(Datos!J13-Datos!T13)/Datos!T13,(Datos!J13+Datos!Z13-(Datos!T13+Datos!AH13))/(Datos!T13+Datos!AH13))," - ")</f>
        <v>0.1737820190858865</v>
      </c>
      <c r="D13" s="1001">
        <f>IF(ISNUMBER(
   IF(J_V="SI",(Datos!K13-Datos!U13)/Datos!U13,(Datos!K13+Datos!AA13-(Datos!U13+Datos!AI13))/(Datos!U13+Datos!AI13))
     ),IF(J_V="SI",(Datos!K13-Datos!U13)/Datos!U13,(Datos!K13+Datos!AA13-(Datos!U13+Datos!AI13))/(Datos!U13+Datos!AI13))," - ")</f>
        <v>-7.0616113744075823E-2</v>
      </c>
      <c r="E13" s="1001">
        <f>IF(ISNUMBER(
   IF(J_V="SI",(Datos!L13-Datos!V13)/Datos!V13,(Datos!L13+Datos!AB13-(Datos!V13+Datos!AJ13))/(Datos!V13+Datos!AJ13))
     ),IF(J_V="SI",(Datos!L13-Datos!V13)/Datos!V13,(Datos!L13+Datos!AB13-(Datos!V13+Datos!AJ13))/(Datos!V13+Datos!AJ13))," - ")</f>
        <v>0.14976830398517146</v>
      </c>
      <c r="F13" s="1002">
        <f>IF(ISNUMBER((Datos!M13-Datos!W13)/Datos!W13),(Datos!M13-Datos!W13)/Datos!W13," - ")</f>
        <v>0.31349206349206349</v>
      </c>
      <c r="G13" s="1003">
        <f>IF(ISNUMBER((Datos!N13-Datos!X13)/Datos!X13),(Datos!N13-Datos!X13)/Datos!X13," - ")</f>
        <v>0.12656249999999999</v>
      </c>
      <c r="H13" s="1003">
        <f>IF(ISNUMBER(((NºAsuntos!G13/NºAsuntos!E13)-Datos!BD13)/Datos!BD13),((NºAsuntos!G13/NºAsuntos!E13)-Datos!BD13)/Datos!BD13," - ")</f>
        <v>-0.20821424153378468</v>
      </c>
      <c r="I13" s="1003">
        <f>IF(ISNUMBER(((NºAsuntos!I13/NºAsuntos!G13)-Datos!BE13)/Datos!BE13),((NºAsuntos!I13/NºAsuntos!G13)-Datos!BE13)/Datos!BE13," - ")</f>
        <v>0.23712958766379988</v>
      </c>
      <c r="J13" s="1003">
        <f>IF(ISNUMBER((('Resol  Asuntos'!D13/NºAsuntos!G13)-Datos!BF13)/Datos!BF13),(('Resol  Asuntos'!D13/NºAsuntos!G13)-Datos!BF13)/Datos!BF13," - ")</f>
        <v>0.11471024572273567</v>
      </c>
      <c r="K13" s="1003">
        <f>IF(ISNUMBER((((NºAsuntos!C13+NºAsuntos!E13)/NºAsuntos!G13)-Datos!BG13)/Datos!BG13),(((NºAsuntos!C13+NºAsuntos!E13)/NºAsuntos!G13)-Datos!BG13)/Datos!BG13," - ")</f>
        <v>0.16988810111633895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6.8502661420967365E-2</v>
      </c>
      <c r="C15" s="472">
        <f>IF(ISNUMBER(
   IF(D_I="SI",(Datos!J15-Datos!T15)/Datos!T15,(Datos!J15+Datos!AD15-(Datos!T15+Datos!AL15))/(Datos!T15+Datos!AL15))
     ),IF(D_I="SI",(Datos!J15-Datos!T15)/Datos!T15,(Datos!J15+Datos!AD15-(Datos!T15+Datos!AL15))/(Datos!T15+Datos!AL15))," - ")</f>
        <v>0.16099290780141845</v>
      </c>
      <c r="D15" s="472">
        <f>IF(ISNUMBER(
   IF(D_I="SI",(Datos!K15-Datos!U15)/Datos!U15,(Datos!K15+Datos!AE15-(Datos!U15+Datos!AM15))/(Datos!U15+Datos!AM15))
     ),IF(D_I="SI",(Datos!K15-Datos!U15)/Datos!U15,(Datos!K15+Datos!AE15-(Datos!U15+Datos!AM15))/(Datos!U15+Datos!AM15))," - ")</f>
        <v>0.28170055452865067</v>
      </c>
      <c r="E15" s="472">
        <f>IF(ISNUMBER(
   IF(D_I="SI",(Datos!L15-Datos!V15)/Datos!V15,(Datos!L15+Datos!AF15-(Datos!V15+Datos!AN15))/(Datos!V15+Datos!AN15))
     ),IF(D_I="SI",(Datos!L15-Datos!V15)/Datos!V15,(Datos!L15+Datos!AF15-(Datos!V15+Datos!AN15))/(Datos!V15+Datos!AN15))," - ")</f>
        <v>-4.1433370660694288E-2</v>
      </c>
      <c r="F15" s="472">
        <f>IF(ISNUMBER((Datos!M15-Datos!W15)/Datos!W15),(Datos!M15-Datos!W15)/Datos!W15," - ")</f>
        <v>4.6189376443418013E-3</v>
      </c>
      <c r="G15" s="473">
        <f>IF(ISNUMBER((Datos!N15-Datos!X15)/Datos!X15),(Datos!N15-Datos!X15)/Datos!X15," - ")</f>
        <v>0.3732919254658385</v>
      </c>
      <c r="H15" s="471">
        <f>IF(ISNUMBER(((NºAsuntos!G15/NºAsuntos!E15)-Datos!BD15)/Datos!BD15),((NºAsuntos!G15/NºAsuntos!E15)-Datos!BD15)/Datos!BD15," - ")</f>
        <v>0.10396932308209979</v>
      </c>
      <c r="I15" s="472">
        <f>IF(ISNUMBER(((NºAsuntos!I15/NºAsuntos!G15)-Datos!BE15)/Datos!BE15),((NºAsuntos!I15/NºAsuntos!G15)-Datos!BE15)/Datos!BE15," - ")</f>
        <v>-0.25211343168075512</v>
      </c>
      <c r="J15" s="477">
        <f>IF(ISNUMBER((('Resol  Asuntos'!D15/NºAsuntos!G15)-Datos!BF15)/Datos!BF15),(('Resol  Asuntos'!D15/NºAsuntos!G15)-Datos!BF15)/Datos!BF15," - ")</f>
        <v>-0.21618280175138593</v>
      </c>
      <c r="K15" s="478">
        <f>IF(ISNUMBER((((NºAsuntos!C15+NºAsuntos!E15)/NºAsuntos!G15)-Datos!BG15)/Datos!BG15),(((NºAsuntos!C15+NºAsuntos!E15)/NºAsuntos!G15)-Datos!BG15)/Datos!BG15," - ")</f>
        <v>-0.13784284231177282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0.14516129032258066</v>
      </c>
      <c r="C17" s="472">
        <f>IF(ISNUMBER(
   IF(D_I="SI",(Datos!J17-Datos!T17)/Datos!T17,(Datos!J17+Datos!AD17-(Datos!T17+Datos!AL17))/(Datos!T17+Datos!AL17))
     ),IF(D_I="SI",(Datos!J17-Datos!T17)/Datos!T17,(Datos!J17+Datos!AD17-(Datos!T17+Datos!AL17))/(Datos!T17+Datos!AL17))," - ")</f>
        <v>0.19155844155844157</v>
      </c>
      <c r="D17" s="472">
        <f>IF(ISNUMBER(
   IF(D_I="SI",(Datos!K17-Datos!U17)/Datos!U17,(Datos!K17+Datos!AE17-(Datos!U17+Datos!AM17))/(Datos!U17+Datos!AM17))
     ),IF(D_I="SI",(Datos!K17-Datos!U17)/Datos!U17,(Datos!K17+Datos!AE17-(Datos!U17+Datos!AM17))/(Datos!U17+Datos!AM17))," - ")</f>
        <v>0.35810810810810811</v>
      </c>
      <c r="E17" s="472">
        <f>IF(ISNUMBER(
   IF(D_I="SI",(Datos!L17-Datos!V17)/Datos!V17,(Datos!L17+Datos!AF17-(Datos!V17+Datos!AN17))/(Datos!V17+Datos!AN17))
     ),IF(D_I="SI",(Datos!L17-Datos!V17)/Datos!V17,(Datos!L17+Datos!AF17-(Datos!V17+Datos!AN17))/(Datos!V17+Datos!AN17))," - ")</f>
        <v>-4.9618320610687022E-2</v>
      </c>
      <c r="F17" s="472">
        <f>IF(ISNUMBER((Datos!M17-Datos!W17)/Datos!W17),(Datos!M17-Datos!W17)/Datos!W17," - ")</f>
        <v>1.1000000000000001</v>
      </c>
      <c r="G17" s="473">
        <f>IF(ISNUMBER((Datos!N17-Datos!X17)/Datos!X17),(Datos!N17-Datos!X17)/Datos!X17," - ")</f>
        <v>0.39393939393939392</v>
      </c>
      <c r="H17" s="471">
        <f>IF(ISNUMBER(((NºAsuntos!G17/NºAsuntos!E17)-Datos!BD17)/Datos!BD17),((NºAsuntos!G17/NºAsuntos!E17)-Datos!BD17)/Datos!BD17," - ")</f>
        <v>0.13977465203623241</v>
      </c>
      <c r="I17" s="472">
        <f>IF(ISNUMBER(((NºAsuntos!I17/NºAsuntos!G17)-Datos!BE17)/Datos!BE17),((NºAsuntos!I17/NºAsuntos!G17)-Datos!BE17)/Datos!BE17," - ")</f>
        <v>-0.30021647487752073</v>
      </c>
      <c r="J17" s="477">
        <f>IF(ISNUMBER((('Resol  Asuntos'!D17/NºAsuntos!G17)-Datos!BF17)/Datos!BF17),(('Resol  Asuntos'!D17/NºAsuntos!G17)-Datos!BF17)/Datos!BF17," - ")</f>
        <v>0.54626865671641789</v>
      </c>
      <c r="K17" s="478">
        <f>IF(ISNUMBER((((NºAsuntos!C17+NºAsuntos!E17)/NºAsuntos!G17)-Datos!BG17)/Datos!BG17),(((NºAsuntos!C17+NºAsuntos!E17)/NºAsuntos!G17)-Datos!BG17)/Datos!BG17," - ")</f>
        <v>-0.13787179211854397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7.2663602538848765E-2</v>
      </c>
      <c r="C18" s="1001">
        <f>IF(ISNUMBER(
   IF(Criterios!B14="SI",(Datos!J18-Datos!T18)/Datos!T18,(Datos!J18+Datos!AD18-(Datos!T18+Datos!AL18))/(Datos!T18+Datos!AL18))
     ),IF(Criterios!B14="SI",(Datos!J18-Datos!T18)/Datos!T18,(Datos!J18+Datos!AD18-(Datos!T18+Datos!AL18))/(Datos!T18+Datos!AL18))," - ")</f>
        <v>0.16400255754475704</v>
      </c>
      <c r="D18" s="1001">
        <f>IF(ISNUMBER(
   IF(Criterios!B14="SI",(Datos!K18-Datos!U18)/Datos!U18,(Datos!K18+Datos!AE18-(Datos!U18+Datos!AM18))/(Datos!U18+Datos!AM18))
     ),IF(Criterios!B14="SI",(Datos!K18-Datos!U18)/Datos!U18,(Datos!K18+Datos!AE18-(Datos!U18+Datos!AM18))/(Datos!U18+Datos!AM18))," - ")</f>
        <v>0.28923692102632453</v>
      </c>
      <c r="E18" s="1001">
        <f>IF(ISNUMBER(
   IF(Criterios!B14="SI",(Datos!L18-Datos!V18)/Datos!V18,(Datos!L18+Datos!AF18-(Datos!V18+Datos!AN18))/(Datos!V18+Datos!AN18))
     ),IF(Criterios!B14="SI",(Datos!L18-Datos!V18)/Datos!V18,(Datos!L18+Datos!AF18-(Datos!V18+Datos!AN18))/(Datos!V18+Datos!AN18))," - ")</f>
        <v>-4.1887031944150624E-2</v>
      </c>
      <c r="F18" s="1002">
        <f>IF(ISNUMBER((Datos!M18-Datos!W18)/Datos!W18),(Datos!M18-Datos!W18)/Datos!W18," - ")</f>
        <v>7.5593952483801297E-2</v>
      </c>
      <c r="G18" s="1003">
        <f>IF(ISNUMBER((Datos!N18-Datos!X18)/Datos!X18),(Datos!N18-Datos!X18)/Datos!X18," - ")</f>
        <v>0.37521126760563378</v>
      </c>
      <c r="H18" s="1003">
        <f>IF(ISNUMBER(((NºAsuntos!G18/NºAsuntos!E18)-Datos!BD18)/Datos!BD18),((NºAsuntos!G18/NºAsuntos!E18)-Datos!BD18)/Datos!BD18," - ")</f>
        <v>0.10758942295257984</v>
      </c>
      <c r="I18" s="1003">
        <f>IF(ISNUMBER(((NºAsuntos!I18/NºAsuntos!G18)-Datos!BE18)/Datos!BE18),((NºAsuntos!I18/NºAsuntos!G18)-Datos!BE18)/Datos!BE18," - ")</f>
        <v>-0.25683716279772445</v>
      </c>
      <c r="J18" s="1003">
        <f>IF(ISNUMBER((('Resol  Asuntos'!D18/NºAsuntos!G18)-Datos!BF18)/Datos!BF18),(('Resol  Asuntos'!D18/NºAsuntos!G18)-Datos!BF18)/Datos!BF18," - ")</f>
        <v>-0.1657127290245832</v>
      </c>
      <c r="K18" s="1003">
        <f>IF(ISNUMBER((((NºAsuntos!C18+NºAsuntos!E18)/NºAsuntos!G18)-Datos!BG18)/Datos!BG18),(((NºAsuntos!C18+NºAsuntos!E18)/NºAsuntos!G18)-Datos!BG18)/Datos!BG18," - ")</f>
        <v>-0.13919387953394946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6.3572349499156994E-2</v>
      </c>
      <c r="C19" s="948">
        <f>IF(ISNUMBER(
   IF(J_V="SI",(Datos!J19-Datos!T19)/Datos!T19,(Datos!J19+Datos!Z19-(Datos!T19+Datos!AH19))/(Datos!T19+Datos!AH19))
     ),IF(J_V="SI",(Datos!J19-Datos!T19)/Datos!T19,(Datos!J19+Datos!Z19-(Datos!T19+Datos!AH19))/(Datos!T19+Datos!AH19))," - ")</f>
        <v>0.16780621215081071</v>
      </c>
      <c r="D19" s="948">
        <f>IF(ISNUMBER(
   IF(J_V="SI",(Datos!K19-Datos!U19)/Datos!U19,(Datos!K19+Datos!AA19-(Datos!U19+Datos!AI19))/(Datos!U19+Datos!AI19))
     ),IF(J_V="SI",(Datos!K19-Datos!U19)/Datos!U19,(Datos!K19+Datos!AA19-(Datos!U19+Datos!AI19))/(Datos!U19+Datos!AI19))," - ")</f>
        <v>0.14067697123850517</v>
      </c>
      <c r="E19" s="948">
        <f>IF(ISNUMBER(
   IF(J_V="SI",(Datos!L19-Datos!V19)/Datos!V19,(Datos!L19+Datos!AB19-(Datos!V19+Datos!AJ19))/(Datos!V19+Datos!AJ19))
     ),IF(J_V="SI",(Datos!L19-Datos!V19)/Datos!V19,(Datos!L19+Datos!AB19-(Datos!V19+Datos!AJ19))/(Datos!V19+Datos!AJ19))," - ")</f>
        <v>6.0264769808338274E-2</v>
      </c>
      <c r="F19" s="949">
        <f>IF(ISNUMBER((Datos!M19-Datos!W19)/Datos!W19),(Datos!M19-Datos!W19)/Datos!W19," - ")</f>
        <v>0.19958634953464321</v>
      </c>
      <c r="G19" s="950">
        <f>IF(ISNUMBER((Datos!N19-Datos!X19)/Datos!X19),(Datos!N19-Datos!X19)/Datos!X19," - ")</f>
        <v>0.30931677018633541</v>
      </c>
      <c r="H19" s="951">
        <f>IF(ISNUMBER((Tasas!B19-Datos!BD19)/Datos!BD19),(Tasas!B19-Datos!BD19)/Datos!BD19," - ")</f>
        <v>-2.3230944166960879E-2</v>
      </c>
      <c r="I19" s="952">
        <f>IF(ISNUMBER((Tasas!C19-Datos!BE19)/Datos!BE19),(Tasas!C19-Datos!BE19)/Datos!BE19," - ")</f>
        <v>-7.0495156348127488E-2</v>
      </c>
      <c r="J19" s="953">
        <f>IF(ISNUMBER((Tasas!D19-Datos!BF19)/Datos!BF19),(Tasas!D19-Datos!BF19)/Datos!BF19," - ")</f>
        <v>-7.7186963979416823E-2</v>
      </c>
      <c r="K19" s="953">
        <f>IF(ISNUMBER((Tasas!E19-Datos!BG19)/Datos!BG19),(Tasas!E19-Datos!BG19)/Datos!BG19," - ")</f>
        <v>-3.682527554039005E-2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qPhqXGkLlXwnPBha2qVqdWBG2wN8Wt9hI/M8PK4NlTmctbtmHlRc86uTsItgjENTttl4Td8gtNSYanU8yQIrA==" saltValue="vmIWP/sn5rV2TyiGYDI4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EIVISSA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0.82964889466840053</v>
      </c>
      <c r="C9" s="459">
        <f>IF(ISNUMBER(NºAsuntos!I9/NºAsuntos!G9),NºAsuntos!I9/NºAsuntos!G9," - ")</f>
        <v>3.1760710553814002</v>
      </c>
      <c r="D9" s="460">
        <f>IF(ISNUMBER('Resol  Asuntos'!D9/NºAsuntos!G9),'Resol  Asuntos'!D9/NºAsuntos!G9," - ")</f>
        <v>0.33333333333333331</v>
      </c>
      <c r="E9" s="461">
        <f>IF(ISNUMBER((NºAsuntos!C9+NºAsuntos!E9)/NºAsuntos!G9),(NºAsuntos!C9+NºAsuntos!E9)/NºAsuntos!G9," - ")</f>
        <v>4.1739811912225706</v>
      </c>
      <c r="G9" s="479"/>
    </row>
    <row r="10" spans="1:7">
      <c r="A10" s="413" t="str">
        <f>Datos!A10</f>
        <v>Jdos. Violencia contra la mujer</v>
      </c>
      <c r="B10" s="458">
        <f>IF(ISNUMBER(NºAsuntos!G10/NºAsuntos!E10),NºAsuntos!G10/NºAsuntos!E10," - ")</f>
        <v>1.5666666666666667</v>
      </c>
      <c r="C10" s="459">
        <f>IF(ISNUMBER(NºAsuntos!I10/NºAsuntos!G10),NºAsuntos!I10/NºAsuntos!G10," - ")</f>
        <v>2.6382978723404253</v>
      </c>
      <c r="D10" s="460">
        <f>IF(ISNUMBER('Resol  Asuntos'!D10/NºAsuntos!G10),'Resol  Asuntos'!D10/NºAsuntos!G10," - ")</f>
        <v>0.51063829787234039</v>
      </c>
      <c r="E10" s="461">
        <f>IF(ISNUMBER((NºAsuntos!C10+NºAsuntos!E10)/NºAsuntos!G10),(NºAsuntos!C10+NºAsuntos!E10)/NºAsuntos!G10," - ")</f>
        <v>3.6382978723404253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0.83910997004706889</v>
      </c>
      <c r="C13" s="1005">
        <f>IF(ISNUMBER(NºAsuntos!I13/NºAsuntos!G13),NºAsuntos!I13/NºAsuntos!G13," - ")</f>
        <v>3.1631820499745027</v>
      </c>
      <c r="D13" s="1006">
        <f>IF(ISNUMBER('Resol  Asuntos'!D13/NºAsuntos!G13),'Resol  Asuntos'!D13/NºAsuntos!G13," - ")</f>
        <v>0.33758286588475267</v>
      </c>
      <c r="E13" s="1007">
        <f>IF(ISNUMBER((NºAsuntos!C13+NºAsuntos!E13)/NºAsuntos!G13),(NºAsuntos!C13+NºAsuntos!E13)/NºAsuntos!G13," - ")</f>
        <v>4.1611422743498219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1.0589492974954184</v>
      </c>
      <c r="C15" s="459">
        <f>IF(ISNUMBER(NºAsuntos!I15/NºAsuntos!G15),NºAsuntos!I15/NºAsuntos!G15," - ")</f>
        <v>1.2344966830112489</v>
      </c>
      <c r="D15" s="460">
        <f>IF(ISNUMBER('Resol  Asuntos'!D15/NºAsuntos!G15),'Resol  Asuntos'!D15/NºAsuntos!G15," - ")</f>
        <v>0.12546870493221807</v>
      </c>
      <c r="E15" s="461">
        <f>IF(ISNUMBER((NºAsuntos!C15+NºAsuntos!E15)/NºAsuntos!G15),(NºAsuntos!C15+NºAsuntos!E15)/NºAsuntos!G15," - ")</f>
        <v>2.2760311508508799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1.0953678474114441</v>
      </c>
      <c r="C17" s="459">
        <f>IF(ISNUMBER(NºAsuntos!I17/NºAsuntos!G17),NºAsuntos!I17/NºAsuntos!G17," - ")</f>
        <v>0.61940298507462688</v>
      </c>
      <c r="D17" s="460">
        <f>IF(ISNUMBER('Resol  Asuntos'!D17/NºAsuntos!G17),'Resol  Asuntos'!D17/NºAsuntos!G17," - ")</f>
        <v>0.15671641791044777</v>
      </c>
      <c r="E17" s="461">
        <f>IF(ISNUMBER((NºAsuntos!C17+NºAsuntos!E17)/NºAsuntos!G17),(NºAsuntos!C17+NºAsuntos!E17)/NºAsuntos!G17," - ")</f>
        <v>1.6194029850746268</v>
      </c>
      <c r="G17" s="479"/>
    </row>
    <row r="18" spans="1:7" ht="14.25" thickTop="1" thickBot="1">
      <c r="A18" s="994" t="str">
        <f>Datos!A18</f>
        <v>TOTAL</v>
      </c>
      <c r="B18" s="1004">
        <f>IF(ISNUMBER(NºAsuntos!G18/NºAsuntos!E18),NºAsuntos!G18/NºAsuntos!E18," - ")</f>
        <v>1.0626201592968965</v>
      </c>
      <c r="C18" s="1005">
        <f>IF(ISNUMBER(NºAsuntos!I18/NºAsuntos!G18),NºAsuntos!I18/NºAsuntos!G18," - ")</f>
        <v>1.1705867149134144</v>
      </c>
      <c r="D18" s="1008">
        <f>IF(ISNUMBER('Resol  Asuntos'!D18/NºAsuntos!G18),'Resol  Asuntos'!D18/NºAsuntos!G18," - ")</f>
        <v>0.12871543034375807</v>
      </c>
      <c r="E18" s="1007">
        <f>IF(ISNUMBER((NºAsuntos!C18+NºAsuntos!E18)/NºAsuntos!G18),(NºAsuntos!C18+NºAsuntos!E18)/NºAsuntos!G18," - ")</f>
        <v>2.2078056345308865</v>
      </c>
      <c r="G18" s="479"/>
    </row>
    <row r="19" spans="1:7" ht="15.75" customHeight="1" thickTop="1" thickBot="1">
      <c r="A19" s="939" t="str">
        <f>Datos!A19</f>
        <v>TOTAL JURISDICCIONES</v>
      </c>
      <c r="B19" s="954">
        <f>IF(ISNUMBER(NºAsuntos!G19/NºAsuntos!E19),NºAsuntos!G19/NºAsuntos!E19," - ")</f>
        <v>0.97524255603880894</v>
      </c>
      <c r="C19" s="955">
        <f>IF(ISNUMBER(NºAsuntos!I19/NºAsuntos!G19),NºAsuntos!I19/NºAsuntos!G19," - ")</f>
        <v>1.8408233276157804</v>
      </c>
      <c r="D19" s="956">
        <f>IF(ISNUMBER('Resol  Asuntos'!D19/NºAsuntos!G19),'Resol  Asuntos'!D19/NºAsuntos!G19," - ")</f>
        <v>0.19897084048027444</v>
      </c>
      <c r="E19" s="957">
        <f>IF(ISNUMBER((NºAsuntos!C19+NºAsuntos!E19)/NºAsuntos!G19),(NºAsuntos!C19+NºAsuntos!E19)/NºAsuntos!G19," - ")</f>
        <v>2.86483704974271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IkbPxnEXQfVYUp0tMr02gZ0Mfc6xkHmnkZy6aWKa395vw1Dd7PUtob7YcZb3HobiSFHsMIzeKjf/CYC6BimA==" saltValue="Qnr+d1l4XDQ20NHAOkUF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EIVISSA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455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239</v>
      </c>
      <c r="Y9" s="343">
        <f>SUM(W9:X9)</f>
        <v>239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6708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638</v>
      </c>
      <c r="AJ9" s="233" t="str">
        <f>IF(ISNUMBER(Datos!BW9),Datos!BW9," - ")</f>
        <v xml:space="preserve"> - </v>
      </c>
      <c r="AK9" s="232" t="str">
        <f>IF(ISNUMBER(Datos!BX9),Datos!BX9," - ")</f>
        <v xml:space="preserve"> - </v>
      </c>
      <c r="AL9" s="247">
        <f>IF(ISNUMBER(NºAsuntos!G9/NºAsuntos!E9),NºAsuntos!G9/NºAsuntos!E9," - ")</f>
        <v>0.82964889466840053</v>
      </c>
      <c r="AM9" s="264">
        <f>IF(ISNUMBER(((NºAsuntos!I9/NºAsuntos!G9)*11)/factor_trimestre),((NºAsuntos!I9/NºAsuntos!G9)*11)/factor_trimestre," - ")</f>
        <v>9.5282131661441998</v>
      </c>
      <c r="AN9" s="248">
        <f>IF(ISNUMBER('Resol  Asuntos'!D9/NºAsuntos!G9),'Resol  Asuntos'!D9/NºAsuntos!G9," - ")</f>
        <v>0.33333333333333331</v>
      </c>
      <c r="AO9" s="249">
        <f>IF(ISNUMBER((NºAsuntos!C9+NºAsuntos!E9)/NºAsuntos!G9),(NºAsuntos!C9+NºAsuntos!E9)/NºAsuntos!G9," - ")</f>
        <v>4.1739811912225706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141</v>
      </c>
      <c r="G10" s="342">
        <f>IF(ISNUMBER(Datos!I10),Datos!I10," - ")</f>
        <v>141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47</v>
      </c>
      <c r="X10" s="230">
        <f>IF(ISNUMBER(Datos!Q10),Datos!Q10," - ")</f>
        <v>6</v>
      </c>
      <c r="Y10" s="343">
        <f t="shared" ref="Y10:Y12" si="0">SUM(W10:X10)</f>
        <v>53</v>
      </c>
      <c r="Z10" s="344" t="str">
        <f>IF(ISNUMBER(Datos!CC10),Datos!CC10," - ")</f>
        <v xml:space="preserve"> - </v>
      </c>
      <c r="AA10" s="341">
        <f>IF(ISNUMBER(Datos!L10),Datos!L10,"-")</f>
        <v>124</v>
      </c>
      <c r="AB10" s="343">
        <f>IF(ISNUMBER(Datos!R10),Datos!R10," - ")</f>
        <v>22</v>
      </c>
      <c r="AC10" s="343">
        <f t="shared" ref="AC10:AC12" si="1">IF(ISNUMBER(AA10+AB10),AA10+AB10," - ")</f>
        <v>146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24</v>
      </c>
      <c r="AJ10" s="235" t="str">
        <f>IF(ISNUMBER(Datos!BW10),Datos!BW10," - ")</f>
        <v xml:space="preserve"> - </v>
      </c>
      <c r="AK10" s="236" t="str">
        <f>IF(ISNUMBER(Datos!BX10),Datos!BX10," - ")</f>
        <v xml:space="preserve"> - </v>
      </c>
      <c r="AL10" s="247">
        <f>IF(ISNUMBER(NºAsuntos!G10/NºAsuntos!E10),NºAsuntos!G10/NºAsuntos!E10," - ")</f>
        <v>1.5666666666666667</v>
      </c>
      <c r="AM10" s="264">
        <f>IF(ISNUMBER(((NºAsuntos!I10/NºAsuntos!G10)*11)/factor_trimestre),((NºAsuntos!I10/NºAsuntos!G10)*11)/factor_trimestre," - ")</f>
        <v>7.9148936170212769</v>
      </c>
      <c r="AN10" s="248">
        <f>IF(ISNUMBER('Resol  Asuntos'!D10/NºAsuntos!G10),'Resol  Asuntos'!D10/NºAsuntos!G10," - ")</f>
        <v>0.51063829787234039</v>
      </c>
      <c r="AO10" s="249">
        <f>IF(ISNUMBER((NºAsuntos!C10+NºAsuntos!E10)/NºAsuntos!G10),(NºAsuntos!C10+NºAsuntos!E10)/NºAsuntos!G10," - ")</f>
        <v>3.6382978723404253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141</v>
      </c>
      <c r="G13" s="1012">
        <f t="shared" si="3"/>
        <v>141</v>
      </c>
      <c r="H13" s="1011">
        <f t="shared" si="3"/>
        <v>0</v>
      </c>
      <c r="I13" s="1013">
        <f t="shared" si="3"/>
        <v>0</v>
      </c>
      <c r="J13" s="1013">
        <f t="shared" si="3"/>
        <v>0</v>
      </c>
      <c r="K13" s="1013">
        <f t="shared" si="3"/>
        <v>0</v>
      </c>
      <c r="L13" s="1013">
        <f t="shared" si="3"/>
        <v>458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47</v>
      </c>
      <c r="X13" s="1013">
        <f t="shared" si="4"/>
        <v>245</v>
      </c>
      <c r="Y13" s="1014">
        <f t="shared" si="4"/>
        <v>292</v>
      </c>
      <c r="Z13" s="1014">
        <f t="shared" si="4"/>
        <v>0</v>
      </c>
      <c r="AA13" s="1014">
        <f t="shared" si="4"/>
        <v>124</v>
      </c>
      <c r="AB13" s="1014">
        <f t="shared" si="4"/>
        <v>6730</v>
      </c>
      <c r="AC13" s="1014">
        <f t="shared" si="4"/>
        <v>146</v>
      </c>
      <c r="AD13" s="1014">
        <f t="shared" si="4"/>
        <v>0</v>
      </c>
      <c r="AE13" s="1018">
        <f t="shared" si="4"/>
        <v>0</v>
      </c>
      <c r="AF13" s="1011">
        <f t="shared" si="4"/>
        <v>0</v>
      </c>
      <c r="AG13" s="1019">
        <f t="shared" si="4"/>
        <v>0</v>
      </c>
      <c r="AH13" s="1016">
        <f t="shared" si="4"/>
        <v>0</v>
      </c>
      <c r="AI13" s="1011">
        <f t="shared" si="4"/>
        <v>662</v>
      </c>
      <c r="AJ13" s="1013">
        <f t="shared" si="4"/>
        <v>0</v>
      </c>
      <c r="AK13" s="1016">
        <f>SUBTOTAL(9,AK9:AK12)</f>
        <v>0</v>
      </c>
      <c r="AL13" s="1020">
        <f>IF(ISNUMBER(NºAsuntos!G13/NºAsuntos!E13),NºAsuntos!G13/NºAsuntos!E13," - ")</f>
        <v>0.83910997004706889</v>
      </c>
      <c r="AM13" s="1020">
        <f>IF(ISNUMBER(((NºAsuntos!I13/NºAsuntos!G13)*11)/factor_trimestre),((NºAsuntos!I13/NºAsuntos!G13)*11)/factor_trimestre," - ")</f>
        <v>9.4895461499235072</v>
      </c>
      <c r="AN13" s="1021">
        <f>IF(ISNUMBER('Resol  Asuntos'!D13/NºAsuntos!G13),'Resol  Asuntos'!D13/NºAsuntos!G13," - ")</f>
        <v>0.33758286588475267</v>
      </c>
      <c r="AO13" s="1022">
        <f>IF(ISNUMBER((NºAsuntos!C13+NºAsuntos!E13)/NºAsuntos!G13),(NºAsuntos!C13+NºAsuntos!E13)/NºAsuntos!G13," - ")</f>
        <v>4.1611422743498219</v>
      </c>
      <c r="AP13" s="1023" t="str">
        <f t="shared" si="2"/>
        <v xml:space="preserve"> - </v>
      </c>
      <c r="AQ13" s="1023">
        <f>IF(ISNUMBER((H13-W13+K13)/(F13)),(H13-W13+K13)/(F13)," - ")</f>
        <v>-0.33333333333333331</v>
      </c>
      <c r="AR13" s="1024">
        <f>IF(ISNUMBER((Datos!P13-Datos!Q13)/(Datos!R13-Datos!P13+Datos!Q13)),(Datos!P13-Datos!Q13)/(Datos!R13-Datos!P13+Datos!Q13)," - ")</f>
        <v>3.2683750191806048E-2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4473</v>
      </c>
      <c r="G15" s="342">
        <f>IF(ISNUMBER(IF(D_I="SI",Datos!I15,Datos!I15+Datos!AC15)),IF(D_I="SI",Datos!I15,Datos!I15+Datos!AC15)," - ")</f>
        <v>4617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3467</v>
      </c>
      <c r="X15" s="230">
        <f>IF(ISNUMBER(Datos!Q15),Datos!Q15," - ")</f>
        <v>44</v>
      </c>
      <c r="Y15" s="343">
        <f>SUM(W15)</f>
        <v>3467</v>
      </c>
      <c r="Z15" s="344" t="str">
        <f>IF(ISNUMBER(Datos!CC15),Datos!CC15," - ")</f>
        <v xml:space="preserve"> - </v>
      </c>
      <c r="AA15" s="341">
        <f>IF(ISNUMBER(IF(D_I="SI",Datos!L15,Datos!L15+Datos!AF15)),IF(D_I="SI",Datos!L15,Datos!L15+Datos!AF15)," - ")</f>
        <v>4280</v>
      </c>
      <c r="AB15" s="343">
        <f>IF(ISNUMBER(Datos!R15),Datos!R15," - ")</f>
        <v>283</v>
      </c>
      <c r="AC15" s="343">
        <f t="shared" ref="AC15:AC17" si="6">IF(ISNUMBER(AA15+AB15),AA15+AB15," - ")</f>
        <v>4563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435</v>
      </c>
      <c r="AJ15" s="235" t="str">
        <f>IF(ISNUMBER(Datos!BW15),Datos!BW15," - ")</f>
        <v xml:space="preserve"> - </v>
      </c>
      <c r="AK15" s="236" t="str">
        <f>IF(ISNUMBER(Datos!BX15),Datos!BX15," - ")</f>
        <v xml:space="preserve"> - </v>
      </c>
      <c r="AL15" s="247">
        <f>IF(ISNUMBER(NºAsuntos!G15/NºAsuntos!E15),NºAsuntos!G15/NºAsuntos!E15," - ")</f>
        <v>1.0589492974954184</v>
      </c>
      <c r="AM15" s="264">
        <f>IF(ISNUMBER(((NºAsuntos!I15/NºAsuntos!G15)*11)/factor_trimestre),((NºAsuntos!I15/NºAsuntos!G15)*11)/factor_trimestre," - ")</f>
        <v>3.7034900490337468</v>
      </c>
      <c r="AN15" s="248">
        <f>IF(ISNUMBER('Resol  Asuntos'!D15/NºAsuntos!G15),'Resol  Asuntos'!D15/NºAsuntos!G15," - ")</f>
        <v>0.12546870493221807</v>
      </c>
      <c r="AO15" s="249">
        <f>IF(ISNUMBER((NºAsuntos!C15+NºAsuntos!E15)/NºAsuntos!G15),(NºAsuntos!C15+NºAsuntos!E15)/NºAsuntos!G15," - ")</f>
        <v>2.2760311508508799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284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402</v>
      </c>
      <c r="X17" s="230">
        <f>IF(ISNUMBER(Datos!Q17),Datos!Q17," - ")</f>
        <v>4</v>
      </c>
      <c r="Y17" s="343">
        <f t="shared" si="7"/>
        <v>406</v>
      </c>
      <c r="Z17" s="344" t="str">
        <f>IF(ISNUMBER(Datos!CC17),Datos!CC17," - ")</f>
        <v xml:space="preserve"> - </v>
      </c>
      <c r="AA17" s="341">
        <f>IF(ISNUMBER(Datos!L17),Datos!L17,"-")</f>
        <v>249</v>
      </c>
      <c r="AB17" s="343">
        <f>IF(ISNUMBER(Datos!R17),Datos!R17," - ")</f>
        <v>15</v>
      </c>
      <c r="AC17" s="343">
        <f t="shared" si="6"/>
        <v>264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63</v>
      </c>
      <c r="AJ17" s="235" t="str">
        <f>IF(ISNUMBER(Datos!BW17),Datos!BW17," - ")</f>
        <v xml:space="preserve"> - </v>
      </c>
      <c r="AK17" s="236" t="str">
        <f>IF(ISNUMBER(Datos!BX17),Datos!BX17," - ")</f>
        <v xml:space="preserve"> - </v>
      </c>
      <c r="AL17" s="247">
        <f>IF(ISNUMBER(NºAsuntos!G17/NºAsuntos!E17),NºAsuntos!G17/NºAsuntos!E17," - ")</f>
        <v>1.0953678474114441</v>
      </c>
      <c r="AM17" s="264">
        <f>IF(ISNUMBER(((NºAsuntos!I17/NºAsuntos!G17)*11)/factor_trimestre),((NºAsuntos!I17/NºAsuntos!G17)*11)/factor_trimestre," - ")</f>
        <v>1.8582089552238807</v>
      </c>
      <c r="AN17" s="248">
        <f>IF(ISNUMBER('Resol  Asuntos'!D17/NºAsuntos!G17),'Resol  Asuntos'!D17/NºAsuntos!G17," - ")</f>
        <v>0.15671641791044777</v>
      </c>
      <c r="AO17" s="249">
        <f>IF(ISNUMBER((NºAsuntos!C17+NºAsuntos!E17)/NºAsuntos!G17),(NºAsuntos!C17+NºAsuntos!E17)/NºAsuntos!G17," - ")</f>
        <v>1.6194029850746268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4473</v>
      </c>
      <c r="G18" s="1012">
        <f>SUBTOTAL(9,G15:G17)</f>
        <v>4901</v>
      </c>
      <c r="H18" s="1011">
        <f t="shared" ref="H18:O18" si="10">SUBTOTAL(9,H14:H17)</f>
        <v>0</v>
      </c>
      <c r="I18" s="1013">
        <f t="shared" si="10"/>
        <v>0</v>
      </c>
      <c r="J18" s="1013">
        <f t="shared" si="10"/>
        <v>0</v>
      </c>
      <c r="K18" s="1013">
        <f t="shared" si="10"/>
        <v>0</v>
      </c>
      <c r="L18" s="1013">
        <f t="shared" si="10"/>
        <v>60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3869</v>
      </c>
      <c r="X18" s="1013">
        <f t="shared" si="11"/>
        <v>48</v>
      </c>
      <c r="Y18" s="1014">
        <f t="shared" si="11"/>
        <v>3873</v>
      </c>
      <c r="Z18" s="1014">
        <f t="shared" si="11"/>
        <v>0</v>
      </c>
      <c r="AA18" s="1014">
        <f t="shared" si="11"/>
        <v>4529</v>
      </c>
      <c r="AB18" s="1014">
        <f t="shared" si="11"/>
        <v>298</v>
      </c>
      <c r="AC18" s="1014">
        <f t="shared" si="11"/>
        <v>4827</v>
      </c>
      <c r="AD18" s="1014">
        <f t="shared" si="11"/>
        <v>0</v>
      </c>
      <c r="AE18" s="1018">
        <f t="shared" si="11"/>
        <v>0</v>
      </c>
      <c r="AF18" s="1011">
        <f t="shared" si="11"/>
        <v>0</v>
      </c>
      <c r="AG18" s="1019">
        <f t="shared" si="11"/>
        <v>0</v>
      </c>
      <c r="AH18" s="1016">
        <f t="shared" si="11"/>
        <v>0</v>
      </c>
      <c r="AI18" s="1011">
        <f t="shared" si="11"/>
        <v>498</v>
      </c>
      <c r="AJ18" s="1013">
        <f t="shared" si="11"/>
        <v>0</v>
      </c>
      <c r="AK18" s="1016">
        <f t="shared" si="11"/>
        <v>0</v>
      </c>
      <c r="AL18" s="1020">
        <f>IF(ISNUMBER(NºAsuntos!G18/NºAsuntos!E18),NºAsuntos!G18/NºAsuntos!E18," - ")</f>
        <v>1.0626201592968965</v>
      </c>
      <c r="AM18" s="1020">
        <f>IF(ISNUMBER(((NºAsuntos!I18/NºAsuntos!G18)*11)/factor_trimestre),((NºAsuntos!I18/NºAsuntos!G18)*11)/factor_trimestre," - ")</f>
        <v>3.5117601447402436</v>
      </c>
      <c r="AN18" s="1021">
        <f>IF(ISNUMBER('Resol  Asuntos'!D18/NºAsuntos!G18),'Resol  Asuntos'!D18/NºAsuntos!G18," - ")</f>
        <v>0.12871543034375807</v>
      </c>
      <c r="AO18" s="1022">
        <f>IF(ISNUMBER((NºAsuntos!C18+NºAsuntos!E18)/NºAsuntos!G18),(NºAsuntos!C18+NºAsuntos!E18)/NºAsuntos!G18," - ")</f>
        <v>2.2078056345308865</v>
      </c>
      <c r="AP18" s="1023" t="str">
        <f t="shared" si="2"/>
        <v xml:space="preserve"> - </v>
      </c>
      <c r="AQ18" s="1023">
        <f>IF(ISNUMBER((H18-W18+K18)/(F18)),(H18-W18+K18)/(F18)," - ")</f>
        <v>-0.86496758327744239</v>
      </c>
      <c r="AR18" s="1024">
        <f>IF(ISNUMBER((Datos!P18-Datos!Q18)/(Datos!R18-Datos!P18+Datos!Q18)),(Datos!P18-Datos!Q18)/(Datos!R18-Datos!P18+Datos!Q18)," - ")</f>
        <v>4.195804195804196E-2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4614</v>
      </c>
      <c r="G19" s="967">
        <f t="shared" si="13"/>
        <v>5042</v>
      </c>
      <c r="H19" s="966">
        <f t="shared" si="13"/>
        <v>0</v>
      </c>
      <c r="I19" s="968">
        <f t="shared" si="13"/>
        <v>0</v>
      </c>
      <c r="J19" s="968">
        <f t="shared" si="13"/>
        <v>0</v>
      </c>
      <c r="K19" s="1027">
        <f t="shared" si="13"/>
        <v>0</v>
      </c>
      <c r="L19" s="968">
        <f t="shared" si="13"/>
        <v>518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3916</v>
      </c>
      <c r="X19" s="967">
        <f t="shared" si="14"/>
        <v>293</v>
      </c>
      <c r="Y19" s="974">
        <f t="shared" si="14"/>
        <v>4165</v>
      </c>
      <c r="Z19" s="974">
        <f t="shared" si="14"/>
        <v>0</v>
      </c>
      <c r="AA19" s="974">
        <f t="shared" si="14"/>
        <v>4653</v>
      </c>
      <c r="AB19" s="974">
        <f t="shared" si="14"/>
        <v>7028</v>
      </c>
      <c r="AC19" s="974">
        <f t="shared" si="14"/>
        <v>4973</v>
      </c>
      <c r="AD19" s="974">
        <f t="shared" si="14"/>
        <v>0</v>
      </c>
      <c r="AE19" s="976">
        <f t="shared" si="14"/>
        <v>0</v>
      </c>
      <c r="AF19" s="977">
        <f t="shared" si="14"/>
        <v>0</v>
      </c>
      <c r="AG19" s="978">
        <f t="shared" si="14"/>
        <v>0</v>
      </c>
      <c r="AH19" s="976">
        <f t="shared" si="14"/>
        <v>0</v>
      </c>
      <c r="AI19" s="966">
        <f t="shared" si="14"/>
        <v>1160</v>
      </c>
      <c r="AJ19" s="966">
        <f t="shared" si="14"/>
        <v>0</v>
      </c>
      <c r="AK19" s="976">
        <f t="shared" si="14"/>
        <v>0</v>
      </c>
      <c r="AL19" s="1030">
        <f>IF(ISNUMBER(NºAsuntos!G19/NºAsuntos!E19),NºAsuntos!G19/NºAsuntos!E19," - ")</f>
        <v>0.97524255603880894</v>
      </c>
      <c r="AM19" s="1031">
        <f>IF(ISNUMBER(((NºAsuntos!I19/NºAsuntos!G19)*11)/factor_trimestre),((NºAsuntos!I19/NºAsuntos!G19)*11)/factor_trimestre," - ")</f>
        <v>5.5224699828473414</v>
      </c>
      <c r="AN19" s="1031">
        <f>IF(ISNUMBER('Resol  Asuntos'!D19/NºAsuntos!G19),'Resol  Asuntos'!D19/NºAsuntos!G19," - ")</f>
        <v>0.19897084048027444</v>
      </c>
      <c r="AO19" s="1032">
        <f>IF(ISNUMBER((NºAsuntos!C19+NºAsuntos!E19)/NºAsuntos!G19),(NºAsuntos!C19+NºAsuntos!E19)/NºAsuntos!G19," - ")</f>
        <v>2.86483704974271</v>
      </c>
      <c r="AP19" s="1033" t="str">
        <f t="shared" si="2"/>
        <v xml:space="preserve"> - </v>
      </c>
      <c r="AQ19" s="1034">
        <f>IF(OR(ISNUMBER(FIND("01",Criterios!A8,1)),ISNUMBER(FIND("02",Criterios!A8,1)),ISNUMBER(FIND("03",Criterios!A8,1)),ISNUMBER(FIND("04",Criterios!A8,1))),(I19-W19+K19)/(F19-K19),(H19-W19+K19)/(F19-K19))</f>
        <v>-0.84872128305158212</v>
      </c>
      <c r="AR19" s="1035">
        <f>IF(ISNUMBER((Datos!P19-Datos!Q19)/(Datos!R19-Datos!P19+Datos!Q19)),(Datos!P19-Datos!Q19)/(Datos!R19-Datos!P19+Datos!Q19)," - ")</f>
        <v>3.3073643980596798E-2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2016.8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2.5055493963954847</v>
      </c>
      <c r="F21" s="256">
        <f>IF(ISNUMBER(STDEV(F8:F18)),STDEV(F8:F18),"-")</f>
        <v>2501.0813661294587</v>
      </c>
      <c r="G21" s="257">
        <f>IF(ISNUMBER(STDEV(G8:G18)),STDEV(G8:G18),"-")</f>
        <v>2505.9677172701167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1929.1984864186472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279.2831299356742</v>
      </c>
      <c r="AJ21" s="256">
        <f t="shared" si="18"/>
        <v>0</v>
      </c>
      <c r="AK21" s="258">
        <f t="shared" si="18"/>
        <v>0</v>
      </c>
      <c r="AL21" s="253">
        <f t="shared" si="18"/>
        <v>0.26773202514677941</v>
      </c>
      <c r="AM21" s="254">
        <f t="shared" si="18"/>
        <v>3.3737741598165103</v>
      </c>
      <c r="AN21" s="254">
        <f t="shared" si="18"/>
        <v>0.15494688514495736</v>
      </c>
      <c r="AO21" s="255">
        <f t="shared" si="18"/>
        <v>1.112715491912619</v>
      </c>
      <c r="AP21" s="295" t="str">
        <f t="shared" si="18"/>
        <v>-</v>
      </c>
      <c r="AQ21" s="296">
        <f t="shared" si="18"/>
        <v>0.37592218324650362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sHiPd0MrSjJyXziYKeyzeslsNT5Zyfq82Aa/JBlvQzGXQVuzec92YVziIeAl/+VEi//zu8zBOqvuwu1V14BrNA==" saltValue="Fb+dEw/nyDpBC5RLwGZU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EIVISSA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0.28112449799196787</v>
      </c>
      <c r="I9" s="359">
        <f>IF(ISNUMBER((Tasas!C9-Datos!BE9)/Datos!BE9),(Tasas!C9-Datos!BE9)/Datos!BE9," - ")</f>
        <v>0.25710728528698901</v>
      </c>
      <c r="J9" s="358">
        <f>IF(ISNUMBER((Tasas!D9-Datos!BF9)/Datos!BF9),(Tasas!D9-Datos!BF9)/Datos!BF9," - ")</f>
        <v>0.10321221695629276</v>
      </c>
      <c r="K9" s="360">
        <f>IF(ISNUMBER((Tasas!E9-Datos!BG9)/Datos!BG9),(Tasas!E9-Datos!BG9)/Datos!BG9," - ")</f>
        <v>0.18360728148501421</v>
      </c>
      <c r="M9" t="e">
        <f>IF(Monitorios="SI",Datos!CE9,0)</f>
        <v>#REF!</v>
      </c>
      <c r="N9" t="e">
        <f>IF(Monitorios="SI",Datos!CF9,0)</f>
        <v>#REF!</v>
      </c>
      <c r="O9" t="e">
        <f>IF(Monitorios="SI",Datos!CG9,0)</f>
        <v>#REF!</v>
      </c>
      <c r="P9" t="e">
        <f>IF(Monitorios="SI",Datos!CH9,0)</f>
        <v>#REF!</v>
      </c>
      <c r="Q9">
        <f>IF(J_V="SI",0,Datos!AG9)</f>
        <v>190</v>
      </c>
      <c r="R9">
        <f>IF(J_V="SI",0,Datos!AH9)</f>
        <v>156</v>
      </c>
      <c r="S9">
        <f>IF(J_V="SI",0,Datos!AI9)</f>
        <v>162</v>
      </c>
      <c r="T9">
        <f>IF(J_V="SI",0,Datos!AJ9)</f>
        <v>184</v>
      </c>
    </row>
    <row r="10" spans="2:20" ht="14.25">
      <c r="B10" s="279" t="s">
        <v>249</v>
      </c>
      <c r="C10" s="7" t="str">
        <f>Datos!A10</f>
        <v>Jdos. Violencia contra la mujer</v>
      </c>
      <c r="D10" s="361">
        <f>IF(ISNUMBER((Datos!I10-Datos!S10)/Datos!S10),(Datos!I10-Datos!S10)/Datos!S10," - ")</f>
        <v>0.76249999999999996</v>
      </c>
      <c r="E10" s="357">
        <f>IF(ISNUMBER((Datos!J10-Datos!T10)/Datos!T10),(Datos!J10-Datos!T10)/Datos!T10," - ")</f>
        <v>-0.1891891891891892</v>
      </c>
      <c r="F10" s="357">
        <f>IF(ISNUMBER((Datos!K10-Datos!U10)/Datos!U10),(Datos!K10-Datos!U10)/Datos!U10," - ")</f>
        <v>2.1333333333333333</v>
      </c>
      <c r="G10" s="358">
        <f>IF(ISNUMBER((Datos!L10-Datos!V10)/Datos!V10),(Datos!L10-Datos!V10)/Datos!V10," - ")</f>
        <v>0.21568627450980393</v>
      </c>
      <c r="H10" s="234">
        <f>IF(ISNUMBER((Datos!M10-Datos!W10)/Datos!W10),(Datos!M10-Datos!W10)/Datos!W10," - ")</f>
        <v>3</v>
      </c>
      <c r="I10" s="359">
        <f>IF(ISNUMBER((Tasas!C10-Datos!BE10)/Datos!BE10),(Tasas!C10-Datos!BE10)/Datos!BE10," - ")</f>
        <v>-0.61201501877346687</v>
      </c>
      <c r="J10" s="358">
        <f>IF(ISNUMBER((Tasas!D10-Datos!BF10)/Datos!BF10),(Tasas!D10-Datos!BF10)/Datos!BF10," - ")</f>
        <v>0.27659574468085091</v>
      </c>
      <c r="K10" s="360">
        <f>IF(ISNUMBER((Tasas!E10-Datos!BG10)/Datos!BG10),(Tasas!E10-Datos!BG10)/Datos!BG10," - ")</f>
        <v>-0.53355155482815053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0.31349206349206349</v>
      </c>
      <c r="I13" s="366">
        <f>IF(ISNUMBER((Tasas!C13-Datos!BE13)/Datos!BE13),(Tasas!C13-Datos!BE13)/Datos!BE13," - ")</f>
        <v>0.23712958766379988</v>
      </c>
      <c r="J13" s="364">
        <f>IF(ISNUMBER((Tasas!D13-Datos!BF13)/Datos!BF13),(Tasas!D13-Datos!BF13)/Datos!BF13," - ")</f>
        <v>0.11471024572273567</v>
      </c>
      <c r="K13" s="367">
        <f>IF(ISNUMBER((Tasas!E13-Datos!BG13)/Datos!BG13),(Tasas!E13-Datos!BG13)/Datos!BG13," - ")</f>
        <v>0.16988810111633895</v>
      </c>
      <c r="M13" t="e">
        <f>IF(Monitorios="SI",Datos!CE13,0)</f>
        <v>#REF!</v>
      </c>
      <c r="N13" t="e">
        <f>IF(Monitorios="SI",Datos!CF13,0)</f>
        <v>#REF!</v>
      </c>
      <c r="O13" t="e">
        <f>IF(Monitorios="SI",Datos!CG13,0)</f>
        <v>#REF!</v>
      </c>
      <c r="P13" t="e">
        <f>IF(Monitorios="SI",Datos!CH13,0)</f>
        <v>#REF!</v>
      </c>
      <c r="Q13">
        <f>IF(J_V="SI",0,Datos!AG13)</f>
        <v>190</v>
      </c>
      <c r="R13">
        <f>IF(J_V="SI",0,Datos!AH13)</f>
        <v>156</v>
      </c>
      <c r="S13">
        <f>IF(J_V="SI",0,Datos!AI13)</f>
        <v>162</v>
      </c>
      <c r="T13">
        <f>IF(J_V="SI",0,Datos!AJ13)</f>
        <v>184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6.8502661420967365E-2</v>
      </c>
      <c r="E15" s="357">
        <f>IF(ISNUMBER(
   IF(D_I="SI",(Datos!J15-Datos!T15)/Datos!T15,(Datos!J15+Datos!AD15-(Datos!T15+Datos!AL15))/(Datos!T15+Datos!AL15))
     ),IF(D_I="SI",(Datos!J15-Datos!T15)/Datos!T15,(Datos!J15+Datos!AD15-(Datos!T15+Datos!AL15))/(Datos!T15+Datos!AL15))," - ")</f>
        <v>0.16099290780141845</v>
      </c>
      <c r="F15" s="357">
        <f>IF(ISNUMBER(
   IF(D_I="SI",(Datos!K15-Datos!U15)/Datos!U15,(Datos!K15+Datos!AE15-(Datos!U15+Datos!AM15))/(Datos!U15+Datos!AM15))
     ),IF(D_I="SI",(Datos!K15-Datos!U15)/Datos!U15,(Datos!K15+Datos!AE15-(Datos!U15+Datos!AM15))/(Datos!U15+Datos!AM15))," - ")</f>
        <v>0.28170055452865067</v>
      </c>
      <c r="G15" s="358">
        <f>IF(ISNUMBER(
   IF(D_I="SI",(Datos!L15-Datos!V15)/Datos!V15,(Datos!L15+Datos!AF15-(Datos!V15+Datos!AN15))/(Datos!V15+Datos!AN15))
     ),IF(D_I="SI",(Datos!L15-Datos!V15)/Datos!V15,(Datos!L15+Datos!AF15-(Datos!V15+Datos!AN15))/(Datos!V15+Datos!AN15))," - ")</f>
        <v>-4.1433370660694288E-2</v>
      </c>
      <c r="H15" s="234">
        <f>IF(ISNUMBER((Datos!M15-Datos!W15)/Datos!W15),(Datos!M15-Datos!W15)/Datos!W15," - ")</f>
        <v>4.6189376443418013E-3</v>
      </c>
      <c r="I15" s="359">
        <f>IF(ISNUMBER((Tasas!C15-Datos!BE15)/Datos!BE15),(Tasas!C15-Datos!BE15)/Datos!BE15," - ")</f>
        <v>-0.25211343168075512</v>
      </c>
      <c r="J15" s="358">
        <f>IF(ISNUMBER((Tasas!D15-Datos!BF15)/Datos!BF15),(Tasas!D15-Datos!BF15)/Datos!BF15," - ")</f>
        <v>-0.21618280175138593</v>
      </c>
      <c r="K15" s="360">
        <f>IF(ISNUMBER((Tasas!E15-Datos!BG15)/Datos!BG15),(Tasas!E15-Datos!BG15)/Datos!BG15," - ")</f>
        <v>-0.13784284231177282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0.14516129032258066</v>
      </c>
      <c r="E17" s="357">
        <f>IF(ISNUMBER(
   IF(D_I="SI",(Datos!J17-Datos!T17)/Datos!T17,(Datos!J17+Datos!AD17-(Datos!T17+Datos!AL17))/(Datos!T17+Datos!AL17))
     ),IF(D_I="SI",(Datos!J17-Datos!T17)/Datos!T17,(Datos!J17+Datos!AD17-(Datos!T17+Datos!AL17))/(Datos!T17+Datos!AL17))," - ")</f>
        <v>0.19155844155844157</v>
      </c>
      <c r="F17" s="357">
        <f>IF(ISNUMBER(
   IF(D_I="SI",(Datos!K17-Datos!U17)/Datos!U17,(Datos!K17+Datos!AE17-(Datos!U17+Datos!AM17))/(Datos!U17+Datos!AM17))
     ),IF(D_I="SI",(Datos!K17-Datos!U17)/Datos!U17,(Datos!K17+Datos!AE17-(Datos!U17+Datos!AM17))/(Datos!U17+Datos!AM17))," - ")</f>
        <v>0.35810810810810811</v>
      </c>
      <c r="G17" s="358">
        <f>IF(ISNUMBER(
   IF(D_I="SI",(Datos!L17-Datos!V17)/Datos!V17,(Datos!L17+Datos!AF17-(Datos!V17+Datos!AN17))/(Datos!V17+Datos!AN17))
     ),IF(D_I="SI",(Datos!L17-Datos!V17)/Datos!V17,(Datos!L17+Datos!AF17-(Datos!V17+Datos!AN17))/(Datos!V17+Datos!AN17))," - ")</f>
        <v>-4.9618320610687022E-2</v>
      </c>
      <c r="H17" s="234">
        <f>IF(ISNUMBER((Datos!M17-Datos!W17)/Datos!W17),(Datos!M17-Datos!W17)/Datos!W17," - ")</f>
        <v>1.1000000000000001</v>
      </c>
      <c r="I17" s="359">
        <f>IF(ISNUMBER((Tasas!C17-Datos!BE17)/Datos!BE17),(Tasas!C17-Datos!BE17)/Datos!BE17," - ")</f>
        <v>-0.30021647487752073</v>
      </c>
      <c r="J17" s="358">
        <f>IF(ISNUMBER((Tasas!D17-Datos!BF17)/Datos!BF17),(Tasas!D17-Datos!BF17)/Datos!BF17," - ")</f>
        <v>0.54626865671641789</v>
      </c>
      <c r="K17" s="360">
        <f>IF(ISNUMBER((Tasas!E17-Datos!BG17)/Datos!BG17),(Tasas!E17-Datos!BG17)/Datos!BG17," - ")</f>
        <v>-0.13787179211854397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7.2663602538848765E-2</v>
      </c>
      <c r="E18" s="363">
        <f>IF(ISNUMBER(
   IF(D_I="SI",(Datos!J18-Datos!T18)/Datos!T18,(Datos!J18+Datos!AD18-(Datos!T18+Datos!AL18))/(Datos!T18+Datos!AL18))
     ),IF(D_I="SI",(Datos!J18-Datos!T18)/Datos!T18,(Datos!J18+Datos!AD18-(Datos!T18+Datos!AL18))/(Datos!T18+Datos!AL18))," - ")</f>
        <v>0.16400255754475704</v>
      </c>
      <c r="F18" s="363">
        <f>IF(ISNUMBER(
   IF(D_I="SI",(Datos!K18-Datos!U18)/Datos!U18,(Datos!K18+Datos!AE18-(Datos!U18+Datos!AM18))/(Datos!U18+Datos!AM18))
     ),IF(D_I="SI",(Datos!K18-Datos!U18)/Datos!U18,(Datos!K18+Datos!AE18-(Datos!U18+Datos!AM18))/(Datos!U18+Datos!AM18))," - ")</f>
        <v>0.28923692102632453</v>
      </c>
      <c r="G18" s="364">
        <f>IF(ISNUMBER(
   IF(D_I="SI",(Datos!L18-Datos!V18)/Datos!V18,(Datos!L18+Datos!AF18-(Datos!V18+Datos!AN18))/(Datos!V18+Datos!AN18))
     ),IF(D_I="SI",(Datos!L18-Datos!V18)/Datos!V18,(Datos!L18+Datos!AF18-(Datos!V18+Datos!AN18))/(Datos!V18+Datos!AN18))," - ")</f>
        <v>-4.1887031944150624E-2</v>
      </c>
      <c r="H18" s="365">
        <f>IF(ISNUMBER((Datos!M18-Datos!W18)/Datos!W18),(Datos!M18-Datos!W18)/Datos!W18," - ")</f>
        <v>7.5593952483801297E-2</v>
      </c>
      <c r="I18" s="366">
        <f>IF(ISNUMBER((Tasas!C18-Datos!BE18)/Datos!BE18),(Tasas!C18-Datos!BE18)/Datos!BE18," - ")</f>
        <v>-0.25683716279772445</v>
      </c>
      <c r="J18" s="364">
        <f>IF(ISNUMBER((Tasas!D18-Datos!BF18)/Datos!BF18),(Tasas!D18-Datos!BF18)/Datos!BF18," - ")</f>
        <v>-0.1657127290245832</v>
      </c>
      <c r="K18" s="367">
        <f>IF(ISNUMBER((Tasas!E18-Datos!BG18)/Datos!BG18),(Tasas!E18-Datos!BG18)/Datos!BG18," - ")</f>
        <v>-0.13919387953394946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6.3572349499156994E-2</v>
      </c>
      <c r="E19" s="372">
        <f>IF(ISNUMBER(
   IF(J_V="SI",(Datos!J19-Datos!T19)/Datos!T19,(Datos!J19+Datos!Z19-(Datos!T19+Datos!AH19))/(Datos!T19+Datos!AH19))
     ),IF(J_V="SI",(Datos!J19-Datos!T19)/Datos!T19,(Datos!J19+Datos!Z19-(Datos!T19+Datos!AH19))/(Datos!T19+Datos!AH19))," - ")</f>
        <v>0.16780621215081071</v>
      </c>
      <c r="F19" s="372">
        <f>IF(ISNUMBER(
   IF(J_V="SI",(Datos!K19-Datos!U19)/Datos!U19,(Datos!K19+Datos!AA19-(Datos!U19+Datos!AI19))/(Datos!U19+Datos!AI19))
     ),IF(J_V="SI",(Datos!K19-Datos!U19)/Datos!U19,(Datos!K19+Datos!AA19-(Datos!U19+Datos!AI19))/(Datos!U19+Datos!AI19))," - ")</f>
        <v>0.14067697123850517</v>
      </c>
      <c r="G19" s="373">
        <f>IF(ISNUMBER(
   IF(J_V="SI",(Datos!L19-Datos!V19)/Datos!V19,(Datos!L19+Datos!AB19-(Datos!V19+Datos!AJ19))/(Datos!V19+Datos!AJ19))
     ),IF(J_V="SI",(Datos!L19-Datos!V19)/Datos!V19,(Datos!L19+Datos!AB19-(Datos!V19+Datos!AJ19))/(Datos!V19+Datos!AJ19))," - ")</f>
        <v>6.0264769808338274E-2</v>
      </c>
      <c r="H19" s="374">
        <f>IF(ISNUMBER((Datos!M19-Datos!W19)/Datos!W19),(Datos!M19-Datos!W19)/Datos!W19," - ")</f>
        <v>0.19958634953464321</v>
      </c>
      <c r="I19" s="371">
        <f>IF(ISNUMBER((Tasas!C19-Datos!BE19)/Datos!BE19),(Tasas!C19-Datos!BE19)/Datos!BE19," - ")</f>
        <v>-7.0495156348127488E-2</v>
      </c>
      <c r="J19" s="372">
        <f>IF(ISNUMBER((Tasas!D19-Datos!BF19)/Datos!BF19),(Tasas!D19-Datos!BF19)/Datos!BF19," - ")</f>
        <v>-7.7186963979416823E-2</v>
      </c>
      <c r="K19" s="373">
        <f>IF(ISNUMBER((Tasas!E19-Datos!BG19)/Datos!BG19),(Tasas!E19-Datos!BG19)/Datos!BG19," - ")</f>
        <v>-3.682527554039005E-2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0.33538080560674971</v>
      </c>
      <c r="E21" s="282">
        <f t="shared" si="1"/>
        <v>0.18120966353988374</v>
      </c>
      <c r="F21" s="282">
        <f t="shared" si="1"/>
        <v>0.91247366524453388</v>
      </c>
      <c r="G21" s="283">
        <f t="shared" si="1"/>
        <v>0.13005384153014046</v>
      </c>
      <c r="H21" s="289">
        <f t="shared" si="1"/>
        <v>1.1483214987232742</v>
      </c>
      <c r="I21" s="281">
        <f t="shared" si="1"/>
        <v>0.33862925187373033</v>
      </c>
      <c r="J21" s="282">
        <f t="shared" si="1"/>
        <v>0.28304249420888161</v>
      </c>
      <c r="K21" s="283">
        <f t="shared" si="1"/>
        <v>0.26292124894879709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aMb8b1zz4y72/gIVMZM9bIx2MaTjEy+fd5tFaG6M8dIH/5n0EWbfY6UDMc0QO33RBnD4ZnfsYEmme9ZCeH42g==" saltValue="23wvzN8Dbbr//dAUmp4tR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